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4. 15 ม.ค. 67\"/>
    </mc:Choice>
  </mc:AlternateContent>
  <xr:revisionPtr revIDLastSave="0" documentId="13_ncr:1_{D6E97D99-1D03-4114-A7D4-F6D850885B4C}" xr6:coauthVersionLast="37" xr6:coauthVersionMax="37" xr10:uidLastSave="{00000000-0000-0000-0000-000000000000}"/>
  <bookViews>
    <workbookView xWindow="0" yWindow="0" windowWidth="24000" windowHeight="9525" firstSheet="12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22" i="22" l="1"/>
  <c r="O22" i="22" s="1"/>
  <c r="M22" i="22"/>
  <c r="N22" i="22"/>
  <c r="L25" i="22"/>
  <c r="M25" i="22"/>
  <c r="P25" i="22" s="1"/>
  <c r="N25" i="22"/>
  <c r="N19" i="22" s="1"/>
  <c r="L45" i="22"/>
  <c r="M45" i="22"/>
  <c r="N45" i="22"/>
  <c r="P45" i="22"/>
  <c r="O48" i="22"/>
  <c r="P48" i="22"/>
  <c r="L49" i="22"/>
  <c r="L47" i="22" s="1"/>
  <c r="M49" i="22"/>
  <c r="M47" i="22" s="1"/>
  <c r="N49" i="22"/>
  <c r="N47" i="22" s="1"/>
  <c r="O51" i="22"/>
  <c r="P51" i="22"/>
  <c r="L52" i="22"/>
  <c r="L50" i="22" s="1"/>
  <c r="O50" i="22" s="1"/>
  <c r="M52" i="22"/>
  <c r="M50" i="22" s="1"/>
  <c r="P50" i="22" s="1"/>
  <c r="N52" i="22"/>
  <c r="N50" i="22" s="1"/>
  <c r="L60" i="22"/>
  <c r="M60" i="22"/>
  <c r="N60" i="22"/>
  <c r="O60" i="22"/>
  <c r="O63" i="22"/>
  <c r="P63" i="22"/>
  <c r="L64" i="22"/>
  <c r="M64" i="22"/>
  <c r="N64" i="22"/>
  <c r="N62" i="22" s="1"/>
  <c r="O66" i="22"/>
  <c r="P66" i="22"/>
  <c r="L67" i="22"/>
  <c r="M67" i="22"/>
  <c r="M65" i="22" s="1"/>
  <c r="P65" i="22" s="1"/>
  <c r="N67" i="22"/>
  <c r="N65" i="22" s="1"/>
  <c r="L73" i="22"/>
  <c r="M73" i="22"/>
  <c r="P73" i="22" s="1"/>
  <c r="N73" i="22"/>
  <c r="O76" i="22"/>
  <c r="P76" i="22"/>
  <c r="L77" i="22"/>
  <c r="M77" i="22"/>
  <c r="N77" i="22"/>
  <c r="O79" i="22"/>
  <c r="P79" i="22"/>
  <c r="L80" i="22"/>
  <c r="L78" i="22" s="1"/>
  <c r="O78" i="22" s="1"/>
  <c r="M80" i="22"/>
  <c r="N80" i="22"/>
  <c r="N78" i="22" s="1"/>
  <c r="J82" i="22"/>
  <c r="J70" i="22" s="1"/>
  <c r="J83" i="22"/>
  <c r="J71" i="22" s="1"/>
  <c r="I84" i="22"/>
  <c r="K84" i="22" s="1"/>
  <c r="I85" i="22"/>
  <c r="K85" i="22" s="1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P95" i="22" s="1"/>
  <c r="N95" i="22"/>
  <c r="O95" i="22"/>
  <c r="O98" i="22"/>
  <c r="P98" i="22"/>
  <c r="L99" i="22"/>
  <c r="L97" i="22" s="1"/>
  <c r="O97" i="22" s="1"/>
  <c r="M99" i="22"/>
  <c r="N99" i="22"/>
  <c r="N97" i="22" s="1"/>
  <c r="O101" i="22"/>
  <c r="P101" i="22"/>
  <c r="L102" i="22"/>
  <c r="L100" i="22" s="1"/>
  <c r="O100" i="22" s="1"/>
  <c r="M102" i="22"/>
  <c r="M100" i="22" s="1"/>
  <c r="P100" i="22" s="1"/>
  <c r="N102" i="22"/>
  <c r="N100" i="22" s="1"/>
  <c r="I108" i="22"/>
  <c r="K108" i="22" s="1"/>
  <c r="I109" i="22"/>
  <c r="I93" i="22" s="1"/>
  <c r="K93" i="22" s="1"/>
  <c r="I117" i="22"/>
  <c r="K117" i="22" s="1"/>
  <c r="L126" i="22"/>
  <c r="M126" i="22"/>
  <c r="P126" i="22" s="1"/>
  <c r="N126" i="22"/>
  <c r="O129" i="22"/>
  <c r="P129" i="22"/>
  <c r="L130" i="22"/>
  <c r="M130" i="22"/>
  <c r="P130" i="22" s="1"/>
  <c r="N130" i="22"/>
  <c r="N128" i="22" s="1"/>
  <c r="O132" i="22"/>
  <c r="P132" i="22"/>
  <c r="L133" i="22"/>
  <c r="L131" i="22" s="1"/>
  <c r="O131" i="22" s="1"/>
  <c r="M133" i="22"/>
  <c r="P133" i="22" s="1"/>
  <c r="N133" i="22"/>
  <c r="N131" i="22" s="1"/>
  <c r="J136" i="22"/>
  <c r="J137" i="22"/>
  <c r="J138" i="22"/>
  <c r="L140" i="22"/>
  <c r="M140" i="22"/>
  <c r="N140" i="22"/>
  <c r="P140" i="22"/>
  <c r="O143" i="22"/>
  <c r="P143" i="22"/>
  <c r="L144" i="22"/>
  <c r="L142" i="22" s="1"/>
  <c r="O142" i="22" s="1"/>
  <c r="M144" i="22"/>
  <c r="P144" i="22" s="1"/>
  <c r="N144" i="22"/>
  <c r="N142" i="22" s="1"/>
  <c r="O146" i="22"/>
  <c r="P146" i="22"/>
  <c r="L147" i="22"/>
  <c r="O147" i="22" s="1"/>
  <c r="M147" i="22"/>
  <c r="P147" i="22" s="1"/>
  <c r="N147" i="22"/>
  <c r="N145" i="22" s="1"/>
  <c r="I150" i="22"/>
  <c r="K150" i="22" s="1"/>
  <c r="I151" i="22"/>
  <c r="K151" i="22" s="1"/>
  <c r="I152" i="22"/>
  <c r="I153" i="22"/>
  <c r="K153" i="22" s="1"/>
  <c r="I154" i="22"/>
  <c r="K154" i="22" s="1"/>
  <c r="J156" i="22"/>
  <c r="L158" i="22"/>
  <c r="O158" i="22" s="1"/>
  <c r="M158" i="22"/>
  <c r="N158" i="22"/>
  <c r="P158" i="22"/>
  <c r="O161" i="22"/>
  <c r="P161" i="22"/>
  <c r="L162" i="22"/>
  <c r="L160" i="22" s="1"/>
  <c r="O160" i="22" s="1"/>
  <c r="M162" i="22"/>
  <c r="N162" i="22"/>
  <c r="O164" i="22"/>
  <c r="P164" i="22"/>
  <c r="L165" i="22"/>
  <c r="L163" i="22" s="1"/>
  <c r="O163" i="22" s="1"/>
  <c r="M165" i="22"/>
  <c r="P165" i="22" s="1"/>
  <c r="N165" i="22"/>
  <c r="N163" i="22" s="1"/>
  <c r="I167" i="22"/>
  <c r="K167" i="22" s="1"/>
  <c r="I168" i="22"/>
  <c r="K168" i="22" s="1"/>
  <c r="I169" i="22"/>
  <c r="K169" i="22" s="1"/>
  <c r="J172" i="22"/>
  <c r="L174" i="22"/>
  <c r="O174" i="22" s="1"/>
  <c r="M174" i="22"/>
  <c r="N174" i="22"/>
  <c r="O177" i="22"/>
  <c r="P177" i="22"/>
  <c r="L178" i="22"/>
  <c r="M178" i="22"/>
  <c r="N178" i="22"/>
  <c r="O180" i="22"/>
  <c r="P180" i="22"/>
  <c r="L181" i="22"/>
  <c r="L179" i="22" s="1"/>
  <c r="O179" i="22" s="1"/>
  <c r="M181" i="22"/>
  <c r="P181" i="22" s="1"/>
  <c r="N181" i="22"/>
  <c r="N179" i="22" s="1"/>
  <c r="I183" i="22"/>
  <c r="I172" i="22" s="1"/>
  <c r="K172" i="22" s="1"/>
  <c r="K184" i="22"/>
  <c r="L187" i="22"/>
  <c r="O187" i="22" s="1"/>
  <c r="M187" i="22"/>
  <c r="N187" i="22"/>
  <c r="O190" i="22"/>
  <c r="P190" i="22"/>
  <c r="L191" i="22"/>
  <c r="L189" i="22" s="1"/>
  <c r="M191" i="22"/>
  <c r="M189" i="22" s="1"/>
  <c r="N191" i="22"/>
  <c r="N189" i="22" s="1"/>
  <c r="O193" i="22"/>
  <c r="P193" i="22"/>
  <c r="L194" i="22"/>
  <c r="L192" i="22" s="1"/>
  <c r="O192" i="22" s="1"/>
  <c r="M194" i="22"/>
  <c r="M192" i="22" s="1"/>
  <c r="P192" i="22" s="1"/>
  <c r="N194" i="22"/>
  <c r="N192" i="22" s="1"/>
  <c r="J195" i="22"/>
  <c r="L196" i="22"/>
  <c r="O196" i="22" s="1"/>
  <c r="P196" i="22"/>
  <c r="I198" i="22"/>
  <c r="I195" i="22" s="1"/>
  <c r="K195" i="22" s="1"/>
  <c r="J199" i="22"/>
  <c r="J202" i="22"/>
  <c r="N203" i="22"/>
  <c r="P203" i="22"/>
  <c r="L204" i="22"/>
  <c r="L205" i="22"/>
  <c r="L206" i="22"/>
  <c r="I209" i="22"/>
  <c r="K209" i="22" s="1"/>
  <c r="I211" i="22"/>
  <c r="K211" i="22" s="1"/>
  <c r="I212" i="22"/>
  <c r="K212" i="22" s="1"/>
  <c r="J213" i="22"/>
  <c r="N214" i="22"/>
  <c r="P214" i="22"/>
  <c r="L215" i="22"/>
  <c r="L216" i="22"/>
  <c r="L217" i="22"/>
  <c r="I219" i="22"/>
  <c r="K219" i="22" s="1"/>
  <c r="I220" i="22"/>
  <c r="K220" i="22" s="1"/>
  <c r="J221" i="22"/>
  <c r="N222" i="22"/>
  <c r="P222" i="22"/>
  <c r="L223" i="22"/>
  <c r="L224" i="22"/>
  <c r="L225" i="22"/>
  <c r="I228" i="22"/>
  <c r="K228" i="22" s="1"/>
  <c r="I229" i="22"/>
  <c r="K229" i="22" s="1"/>
  <c r="I230" i="22"/>
  <c r="K230" i="22" s="1"/>
  <c r="N233" i="22"/>
  <c r="N234" i="22"/>
  <c r="N235" i="22"/>
  <c r="N236" i="22"/>
  <c r="J238" i="22"/>
  <c r="I240" i="22"/>
  <c r="K240" i="22" s="1"/>
  <c r="J240" i="22"/>
  <c r="I241" i="22"/>
  <c r="K241" i="22" s="1"/>
  <c r="J241" i="22"/>
  <c r="J242" i="22"/>
  <c r="N243" i="22"/>
  <c r="P243" i="22"/>
  <c r="L244" i="22"/>
  <c r="L245" i="22"/>
  <c r="L246" i="22"/>
  <c r="L247" i="22"/>
  <c r="I249" i="22"/>
  <c r="K251" i="22"/>
  <c r="K252" i="22"/>
  <c r="J253" i="22"/>
  <c r="N254" i="22"/>
  <c r="P254" i="22"/>
  <c r="L255" i="22"/>
  <c r="L256" i="22"/>
  <c r="L257" i="22"/>
  <c r="L258" i="22"/>
  <c r="I260" i="22"/>
  <c r="K262" i="22"/>
  <c r="K263" i="22"/>
  <c r="I265" i="22"/>
  <c r="K265" i="22" s="1"/>
  <c r="J265" i="22"/>
  <c r="L267" i="22"/>
  <c r="M267" i="22"/>
  <c r="N267" i="22"/>
  <c r="P267" i="22"/>
  <c r="O270" i="22"/>
  <c r="P270" i="22"/>
  <c r="L271" i="22"/>
  <c r="L269" i="22" s="1"/>
  <c r="O269" i="22" s="1"/>
  <c r="M271" i="22"/>
  <c r="P271" i="22" s="1"/>
  <c r="N271" i="22"/>
  <c r="O273" i="22"/>
  <c r="P273" i="22"/>
  <c r="L274" i="22"/>
  <c r="L272" i="22" s="1"/>
  <c r="O272" i="22" s="1"/>
  <c r="M274" i="22"/>
  <c r="M272" i="22" s="1"/>
  <c r="P272" i="22" s="1"/>
  <c r="N274" i="22"/>
  <c r="N272" i="22" s="1"/>
  <c r="J281" i="22"/>
  <c r="L283" i="22"/>
  <c r="O283" i="22" s="1"/>
  <c r="M283" i="22"/>
  <c r="P283" i="22" s="1"/>
  <c r="N283" i="22"/>
  <c r="O286" i="22"/>
  <c r="P286" i="22"/>
  <c r="L287" i="22"/>
  <c r="L285" i="22" s="1"/>
  <c r="O285" i="22" s="1"/>
  <c r="M287" i="22"/>
  <c r="M285" i="22" s="1"/>
  <c r="P285" i="22" s="1"/>
  <c r="N287" i="22"/>
  <c r="N285" i="22" s="1"/>
  <c r="O289" i="22"/>
  <c r="P289" i="22"/>
  <c r="L290" i="22"/>
  <c r="L288" i="22" s="1"/>
  <c r="O288" i="22" s="1"/>
  <c r="M290" i="22"/>
  <c r="M288" i="22" s="1"/>
  <c r="P288" i="22" s="1"/>
  <c r="N290" i="22"/>
  <c r="N288" i="22" s="1"/>
  <c r="I292" i="22"/>
  <c r="I281" i="22" s="1"/>
  <c r="K281" i="22" s="1"/>
  <c r="I293" i="22"/>
  <c r="I280" i="22" s="1"/>
  <c r="K280" i="22" s="1"/>
  <c r="J293" i="22"/>
  <c r="J280" i="22" s="1"/>
  <c r="I295" i="22"/>
  <c r="K295" i="22" s="1"/>
  <c r="I296" i="22"/>
  <c r="K296" i="22" s="1"/>
  <c r="J302" i="22"/>
  <c r="L304" i="22"/>
  <c r="O304" i="22" s="1"/>
  <c r="M304" i="22"/>
  <c r="P304" i="22" s="1"/>
  <c r="N304" i="22"/>
  <c r="O307" i="22"/>
  <c r="P307" i="22"/>
  <c r="L308" i="22"/>
  <c r="M308" i="22"/>
  <c r="N308" i="22"/>
  <c r="N306" i="22" s="1"/>
  <c r="O310" i="22"/>
  <c r="P310" i="22"/>
  <c r="L311" i="22"/>
  <c r="O311" i="22" s="1"/>
  <c r="M311" i="22"/>
  <c r="P311" i="22" s="1"/>
  <c r="N311" i="22"/>
  <c r="N309" i="22" s="1"/>
  <c r="I314" i="22"/>
  <c r="I302" i="22" s="1"/>
  <c r="K302" i="22" s="1"/>
  <c r="I315" i="22"/>
  <c r="K315" i="22" s="1"/>
  <c r="I316" i="22"/>
  <c r="K316" i="22" s="1"/>
  <c r="I317" i="22"/>
  <c r="K317" i="22" s="1"/>
  <c r="J319" i="22"/>
  <c r="L321" i="22"/>
  <c r="M321" i="22"/>
  <c r="N321" i="22"/>
  <c r="O324" i="22"/>
  <c r="P324" i="22"/>
  <c r="L325" i="22"/>
  <c r="O325" i="22" s="1"/>
  <c r="M325" i="22"/>
  <c r="M323" i="22" s="1"/>
  <c r="P323" i="22" s="1"/>
  <c r="N325" i="22"/>
  <c r="O327" i="22"/>
  <c r="P327" i="22"/>
  <c r="L328" i="22"/>
  <c r="L326" i="22" s="1"/>
  <c r="O326" i="22" s="1"/>
  <c r="M328" i="22"/>
  <c r="M326" i="22" s="1"/>
  <c r="P326" i="22" s="1"/>
  <c r="N328" i="22"/>
  <c r="N326" i="22" s="1"/>
  <c r="I330" i="22"/>
  <c r="I319" i="22" s="1"/>
  <c r="K319" i="22" s="1"/>
  <c r="L334" i="22"/>
  <c r="O334" i="22" s="1"/>
  <c r="M334" i="22"/>
  <c r="N334" i="22"/>
  <c r="O337" i="22"/>
  <c r="P337" i="22"/>
  <c r="L338" i="22"/>
  <c r="M338" i="22"/>
  <c r="N338" i="22"/>
  <c r="O340" i="22"/>
  <c r="P340" i="22"/>
  <c r="L341" i="22"/>
  <c r="O341" i="22" s="1"/>
  <c r="M341" i="22"/>
  <c r="P341" i="22" s="1"/>
  <c r="N341" i="22"/>
  <c r="N339" i="22" s="1"/>
  <c r="I344" i="22"/>
  <c r="I332" i="22" s="1"/>
  <c r="J344" i="22"/>
  <c r="I346" i="22"/>
  <c r="J346" i="22"/>
  <c r="J347" i="22"/>
  <c r="J348" i="22"/>
  <c r="J349" i="22"/>
  <c r="D350" i="22"/>
  <c r="J352" i="22"/>
  <c r="J353" i="22"/>
  <c r="D354" i="22"/>
  <c r="L357" i="22"/>
  <c r="O357" i="22" s="1"/>
  <c r="M357" i="22"/>
  <c r="N357" i="22"/>
  <c r="O360" i="22"/>
  <c r="P360" i="22"/>
  <c r="L361" i="22"/>
  <c r="M361" i="22"/>
  <c r="N361" i="22"/>
  <c r="O363" i="22"/>
  <c r="P363" i="22"/>
  <c r="L364" i="22"/>
  <c r="O364" i="22" s="1"/>
  <c r="M364" i="22"/>
  <c r="P364" i="22" s="1"/>
  <c r="N364" i="22"/>
  <c r="N362" i="22" s="1"/>
  <c r="J367" i="22"/>
  <c r="K367" i="22"/>
  <c r="I368" i="22"/>
  <c r="K368" i="22" s="1"/>
  <c r="J368" i="22"/>
  <c r="I369" i="22"/>
  <c r="K369" i="22" s="1"/>
  <c r="J369" i="22"/>
  <c r="J370" i="22"/>
  <c r="K370" i="22"/>
  <c r="I371" i="22"/>
  <c r="K371" i="22" s="1"/>
  <c r="J371" i="22"/>
  <c r="J365" i="22" s="1"/>
  <c r="J372" i="22"/>
  <c r="K372" i="22"/>
  <c r="D373" i="22"/>
  <c r="I376" i="22"/>
  <c r="K376" i="22" s="1"/>
  <c r="J376" i="22"/>
  <c r="L378" i="22"/>
  <c r="M378" i="22"/>
  <c r="N378" i="22"/>
  <c r="P378" i="22"/>
  <c r="O381" i="22"/>
  <c r="P381" i="22"/>
  <c r="L382" i="22"/>
  <c r="O382" i="22" s="1"/>
  <c r="M382" i="22"/>
  <c r="P382" i="22" s="1"/>
  <c r="N382" i="22"/>
  <c r="O384" i="22"/>
  <c r="P384" i="22"/>
  <c r="L385" i="22"/>
  <c r="O385" i="22" s="1"/>
  <c r="M385" i="22"/>
  <c r="P385" i="22" s="1"/>
  <c r="N385" i="22"/>
  <c r="N383" i="22" s="1"/>
  <c r="K387" i="22"/>
  <c r="K388" i="22"/>
  <c r="A391" i="22"/>
  <c r="L22" i="21"/>
  <c r="M22" i="21"/>
  <c r="M19" i="21" s="1"/>
  <c r="N22" i="21"/>
  <c r="N19" i="21" s="1"/>
  <c r="O22" i="21"/>
  <c r="L25" i="21"/>
  <c r="L19" i="21" s="1"/>
  <c r="M25" i="21"/>
  <c r="N25" i="21"/>
  <c r="P25" i="21"/>
  <c r="L45" i="21"/>
  <c r="O45" i="21" s="1"/>
  <c r="M45" i="21"/>
  <c r="P45" i="21" s="1"/>
  <c r="N45" i="21"/>
  <c r="O48" i="21"/>
  <c r="P48" i="21"/>
  <c r="L49" i="21"/>
  <c r="L47" i="21" s="1"/>
  <c r="M49" i="21"/>
  <c r="M47" i="21" s="1"/>
  <c r="N49" i="21"/>
  <c r="N47" i="21" s="1"/>
  <c r="O51" i="21"/>
  <c r="P51" i="21"/>
  <c r="L52" i="21"/>
  <c r="L50" i="21" s="1"/>
  <c r="O50" i="21" s="1"/>
  <c r="M52" i="21"/>
  <c r="P52" i="21" s="1"/>
  <c r="N52" i="21"/>
  <c r="L60" i="21"/>
  <c r="M60" i="21"/>
  <c r="N60" i="21"/>
  <c r="O60" i="21"/>
  <c r="O63" i="21"/>
  <c r="P63" i="21"/>
  <c r="L64" i="21"/>
  <c r="M64" i="21"/>
  <c r="M62" i="21" s="1"/>
  <c r="N64" i="21"/>
  <c r="O66" i="21"/>
  <c r="P66" i="21"/>
  <c r="L67" i="21"/>
  <c r="O67" i="21" s="1"/>
  <c r="M67" i="21"/>
  <c r="M65" i="21" s="1"/>
  <c r="P65" i="21" s="1"/>
  <c r="N67" i="21"/>
  <c r="N65" i="21" s="1"/>
  <c r="L73" i="21"/>
  <c r="O73" i="21" s="1"/>
  <c r="M73" i="21"/>
  <c r="P73" i="21" s="1"/>
  <c r="N73" i="21"/>
  <c r="O76" i="21"/>
  <c r="P76" i="21"/>
  <c r="L77" i="21"/>
  <c r="L75" i="21" s="1"/>
  <c r="O75" i="21" s="1"/>
  <c r="M77" i="21"/>
  <c r="N77" i="21"/>
  <c r="N75" i="21" s="1"/>
  <c r="O79" i="21"/>
  <c r="P79" i="21"/>
  <c r="L80" i="21"/>
  <c r="L78" i="21" s="1"/>
  <c r="O78" i="21" s="1"/>
  <c r="M80" i="21"/>
  <c r="P80" i="21" s="1"/>
  <c r="N80" i="21"/>
  <c r="N78" i="21" s="1"/>
  <c r="J82" i="21"/>
  <c r="J70" i="21" s="1"/>
  <c r="J83" i="21"/>
  <c r="J71" i="21" s="1"/>
  <c r="I84" i="21"/>
  <c r="K84" i="21" s="1"/>
  <c r="I85" i="21"/>
  <c r="K85" i="21" s="1"/>
  <c r="I86" i="21"/>
  <c r="K86" i="21" s="1"/>
  <c r="I87" i="21"/>
  <c r="I88" i="21"/>
  <c r="K88" i="21" s="1"/>
  <c r="I89" i="21"/>
  <c r="K89" i="21" s="1"/>
  <c r="I90" i="21"/>
  <c r="K90" i="21" s="1"/>
  <c r="J92" i="21"/>
  <c r="J93" i="21"/>
  <c r="L95" i="21"/>
  <c r="M95" i="21"/>
  <c r="P95" i="21" s="1"/>
  <c r="N95" i="21"/>
  <c r="O95" i="21"/>
  <c r="O98" i="21"/>
  <c r="P98" i="21"/>
  <c r="L99" i="21"/>
  <c r="M99" i="21"/>
  <c r="M97" i="21" s="1"/>
  <c r="P97" i="21" s="1"/>
  <c r="N99" i="21"/>
  <c r="N97" i="21" s="1"/>
  <c r="O101" i="21"/>
  <c r="P101" i="21"/>
  <c r="L102" i="21"/>
  <c r="M102" i="21"/>
  <c r="M100" i="21" s="1"/>
  <c r="P100" i="21" s="1"/>
  <c r="N102" i="21"/>
  <c r="N100" i="21" s="1"/>
  <c r="I108" i="21"/>
  <c r="K108" i="21" s="1"/>
  <c r="I109" i="21"/>
  <c r="K109" i="21" s="1"/>
  <c r="I117" i="21"/>
  <c r="K117" i="21" s="1"/>
  <c r="L126" i="21"/>
  <c r="M126" i="21"/>
  <c r="P126" i="21" s="1"/>
  <c r="N126" i="21"/>
  <c r="O129" i="21"/>
  <c r="P129" i="21"/>
  <c r="L130" i="21"/>
  <c r="L128" i="21" s="1"/>
  <c r="O128" i="21" s="1"/>
  <c r="M130" i="21"/>
  <c r="N130" i="21"/>
  <c r="N128" i="21" s="1"/>
  <c r="O132" i="21"/>
  <c r="P132" i="21"/>
  <c r="L133" i="21"/>
  <c r="L131" i="21" s="1"/>
  <c r="O131" i="21" s="1"/>
  <c r="M133" i="21"/>
  <c r="P133" i="21" s="1"/>
  <c r="N133" i="21"/>
  <c r="N131" i="21" s="1"/>
  <c r="J136" i="21"/>
  <c r="J137" i="21"/>
  <c r="J138" i="21"/>
  <c r="L140" i="21"/>
  <c r="M140" i="21"/>
  <c r="N140" i="21"/>
  <c r="P140" i="21"/>
  <c r="O143" i="21"/>
  <c r="P143" i="21"/>
  <c r="L144" i="21"/>
  <c r="L142" i="21" s="1"/>
  <c r="O142" i="21" s="1"/>
  <c r="M144" i="21"/>
  <c r="P144" i="21" s="1"/>
  <c r="N144" i="21"/>
  <c r="O146" i="21"/>
  <c r="P146" i="21"/>
  <c r="L147" i="21"/>
  <c r="L145" i="21" s="1"/>
  <c r="O145" i="21" s="1"/>
  <c r="M147" i="21"/>
  <c r="P147" i="21" s="1"/>
  <c r="N147" i="21"/>
  <c r="N145" i="21" s="1"/>
  <c r="I150" i="21"/>
  <c r="K150" i="21" s="1"/>
  <c r="I151" i="21"/>
  <c r="K151" i="21" s="1"/>
  <c r="I152" i="21"/>
  <c r="I153" i="21"/>
  <c r="I138" i="21" s="1"/>
  <c r="K138" i="21" s="1"/>
  <c r="I154" i="21"/>
  <c r="J156" i="21"/>
  <c r="L158" i="21"/>
  <c r="O158" i="21" s="1"/>
  <c r="M158" i="21"/>
  <c r="P158" i="21" s="1"/>
  <c r="N158" i="21"/>
  <c r="O161" i="21"/>
  <c r="P161" i="21"/>
  <c r="L162" i="21"/>
  <c r="L160" i="21" s="1"/>
  <c r="M162" i="21"/>
  <c r="N162" i="21"/>
  <c r="N160" i="21" s="1"/>
  <c r="O164" i="21"/>
  <c r="P164" i="21"/>
  <c r="L165" i="21"/>
  <c r="L163" i="21" s="1"/>
  <c r="O163" i="21" s="1"/>
  <c r="M165" i="21"/>
  <c r="P165" i="21" s="1"/>
  <c r="N165" i="21"/>
  <c r="N163" i="21" s="1"/>
  <c r="I167" i="21"/>
  <c r="I169" i="21" s="1"/>
  <c r="K169" i="21" s="1"/>
  <c r="J172" i="21"/>
  <c r="L174" i="21"/>
  <c r="O174" i="21" s="1"/>
  <c r="M174" i="21"/>
  <c r="P174" i="21" s="1"/>
  <c r="N174" i="21"/>
  <c r="O177" i="21"/>
  <c r="P177" i="21"/>
  <c r="L178" i="21"/>
  <c r="L176" i="21" s="1"/>
  <c r="M178" i="21"/>
  <c r="M176" i="21" s="1"/>
  <c r="N178" i="21"/>
  <c r="N176" i="21" s="1"/>
  <c r="O180" i="21"/>
  <c r="P180" i="21"/>
  <c r="L181" i="21"/>
  <c r="L179" i="21" s="1"/>
  <c r="O179" i="21" s="1"/>
  <c r="M181" i="21"/>
  <c r="P181" i="21" s="1"/>
  <c r="N181" i="21"/>
  <c r="N179" i="21" s="1"/>
  <c r="I183" i="21"/>
  <c r="K183" i="21" s="1"/>
  <c r="K184" i="21"/>
  <c r="L187" i="21"/>
  <c r="O187" i="21" s="1"/>
  <c r="M187" i="21"/>
  <c r="N187" i="21"/>
  <c r="P187" i="21"/>
  <c r="O190" i="21"/>
  <c r="P190" i="21"/>
  <c r="L191" i="21"/>
  <c r="L189" i="21" s="1"/>
  <c r="M191" i="21"/>
  <c r="N191" i="21"/>
  <c r="O193" i="21"/>
  <c r="P193" i="21"/>
  <c r="L194" i="21"/>
  <c r="O194" i="21" s="1"/>
  <c r="M194" i="21"/>
  <c r="M192" i="21" s="1"/>
  <c r="P192" i="21" s="1"/>
  <c r="N194" i="21"/>
  <c r="N192" i="21" s="1"/>
  <c r="J195" i="21"/>
  <c r="L196" i="21"/>
  <c r="O196" i="21" s="1"/>
  <c r="P196" i="21"/>
  <c r="I198" i="21"/>
  <c r="I195" i="21" s="1"/>
  <c r="K195" i="21" s="1"/>
  <c r="J199" i="21"/>
  <c r="J202" i="21"/>
  <c r="N203" i="21"/>
  <c r="P203" i="21"/>
  <c r="L204" i="21"/>
  <c r="L205" i="21"/>
  <c r="L206" i="21"/>
  <c r="L207" i="21"/>
  <c r="I209" i="21"/>
  <c r="I202" i="21" s="1"/>
  <c r="K202" i="21" s="1"/>
  <c r="I211" i="21"/>
  <c r="K211" i="21" s="1"/>
  <c r="I212" i="21"/>
  <c r="K212" i="21" s="1"/>
  <c r="J213" i="21"/>
  <c r="N214" i="21"/>
  <c r="P214" i="21"/>
  <c r="L215" i="21"/>
  <c r="L216" i="21"/>
  <c r="L217" i="2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K221" i="21" s="1"/>
  <c r="I230" i="21"/>
  <c r="K230" i="21" s="1"/>
  <c r="N233" i="21"/>
  <c r="N234" i="21"/>
  <c r="N235" i="21"/>
  <c r="N236" i="21"/>
  <c r="J238" i="21"/>
  <c r="I240" i="21"/>
  <c r="K240" i="21" s="1"/>
  <c r="J240" i="21"/>
  <c r="I241" i="21"/>
  <c r="K241" i="21" s="1"/>
  <c r="J241" i="21"/>
  <c r="J242" i="21"/>
  <c r="N243" i="21"/>
  <c r="P243" i="21"/>
  <c r="L244" i="21"/>
  <c r="L245" i="21"/>
  <c r="L246" i="21"/>
  <c r="L247" i="21"/>
  <c r="I249" i="21"/>
  <c r="K251" i="21"/>
  <c r="K252" i="21"/>
  <c r="J253" i="21"/>
  <c r="N254" i="21"/>
  <c r="N232" i="21" s="1"/>
  <c r="P254" i="21"/>
  <c r="L255" i="21"/>
  <c r="L256" i="21"/>
  <c r="L257" i="21"/>
  <c r="L258" i="21"/>
  <c r="I260" i="21"/>
  <c r="K260" i="21" s="1"/>
  <c r="K262" i="21"/>
  <c r="K263" i="21"/>
  <c r="I265" i="21"/>
  <c r="K265" i="21" s="1"/>
  <c r="J265" i="21"/>
  <c r="L267" i="21"/>
  <c r="O267" i="21" s="1"/>
  <c r="M267" i="21"/>
  <c r="N267" i="21"/>
  <c r="O270" i="21"/>
  <c r="P270" i="21"/>
  <c r="L271" i="21"/>
  <c r="O271" i="21" s="1"/>
  <c r="M271" i="21"/>
  <c r="M269" i="21" s="1"/>
  <c r="P269" i="21" s="1"/>
  <c r="N271" i="21"/>
  <c r="N269" i="21" s="1"/>
  <c r="O273" i="21"/>
  <c r="P273" i="21"/>
  <c r="L274" i="21"/>
  <c r="O274" i="21" s="1"/>
  <c r="M274" i="21"/>
  <c r="M272" i="21" s="1"/>
  <c r="P272" i="21" s="1"/>
  <c r="N274" i="21"/>
  <c r="N272" i="21" s="1"/>
  <c r="J281" i="21"/>
  <c r="L283" i="21"/>
  <c r="O283" i="21" s="1"/>
  <c r="M283" i="21"/>
  <c r="P283" i="21" s="1"/>
  <c r="N283" i="21"/>
  <c r="O286" i="21"/>
  <c r="P286" i="21"/>
  <c r="L287" i="21"/>
  <c r="M287" i="21"/>
  <c r="M285" i="21" s="1"/>
  <c r="N287" i="21"/>
  <c r="N285" i="21" s="1"/>
  <c r="O289" i="21"/>
  <c r="P289" i="21"/>
  <c r="L290" i="21"/>
  <c r="L288" i="21" s="1"/>
  <c r="O288" i="21" s="1"/>
  <c r="M290" i="21"/>
  <c r="P290" i="21" s="1"/>
  <c r="N290" i="21"/>
  <c r="N288" i="21" s="1"/>
  <c r="I292" i="21"/>
  <c r="I281" i="21" s="1"/>
  <c r="K281" i="21" s="1"/>
  <c r="I293" i="21"/>
  <c r="K293" i="21" s="1"/>
  <c r="J293" i="21"/>
  <c r="J280" i="21" s="1"/>
  <c r="I295" i="21"/>
  <c r="K295" i="21" s="1"/>
  <c r="I296" i="21"/>
  <c r="K296" i="21" s="1"/>
  <c r="J302" i="21"/>
  <c r="L304" i="21"/>
  <c r="M304" i="21"/>
  <c r="N304" i="21"/>
  <c r="O304" i="21"/>
  <c r="P304" i="21"/>
  <c r="O307" i="21"/>
  <c r="P307" i="21"/>
  <c r="L308" i="21"/>
  <c r="M308" i="21"/>
  <c r="M306" i="21" s="1"/>
  <c r="N308" i="21"/>
  <c r="O310" i="21"/>
  <c r="P310" i="21"/>
  <c r="L311" i="21"/>
  <c r="L309" i="21" s="1"/>
  <c r="O309" i="21" s="1"/>
  <c r="M311" i="21"/>
  <c r="P311" i="21" s="1"/>
  <c r="N311" i="21"/>
  <c r="N309" i="21" s="1"/>
  <c r="I314" i="21"/>
  <c r="I302" i="21" s="1"/>
  <c r="I315" i="21"/>
  <c r="K315" i="21" s="1"/>
  <c r="I316" i="21"/>
  <c r="K316" i="21" s="1"/>
  <c r="I317" i="21"/>
  <c r="K317" i="21" s="1"/>
  <c r="J319" i="21"/>
  <c r="L321" i="21"/>
  <c r="M321" i="21"/>
  <c r="N321" i="21"/>
  <c r="O321" i="21"/>
  <c r="P321" i="21"/>
  <c r="O324" i="21"/>
  <c r="P324" i="21"/>
  <c r="L325" i="21"/>
  <c r="L323" i="21" s="1"/>
  <c r="O323" i="21" s="1"/>
  <c r="M325" i="21"/>
  <c r="N325" i="21"/>
  <c r="O327" i="21"/>
  <c r="P327" i="21"/>
  <c r="L328" i="21"/>
  <c r="L326" i="21" s="1"/>
  <c r="O326" i="21" s="1"/>
  <c r="M328" i="21"/>
  <c r="M326" i="21" s="1"/>
  <c r="P326" i="21" s="1"/>
  <c r="N328" i="21"/>
  <c r="N326" i="21" s="1"/>
  <c r="I330" i="21"/>
  <c r="I319" i="21" s="1"/>
  <c r="K319" i="21" s="1"/>
  <c r="L334" i="21"/>
  <c r="M334" i="21"/>
  <c r="P334" i="21" s="1"/>
  <c r="N334" i="21"/>
  <c r="O334" i="21"/>
  <c r="O337" i="21"/>
  <c r="P337" i="21"/>
  <c r="L338" i="21"/>
  <c r="M338" i="21"/>
  <c r="M336" i="21" s="1"/>
  <c r="N338" i="21"/>
  <c r="N336" i="21" s="1"/>
  <c r="O340" i="21"/>
  <c r="P340" i="21"/>
  <c r="L341" i="21"/>
  <c r="L339" i="21" s="1"/>
  <c r="O339" i="21" s="1"/>
  <c r="M341" i="21"/>
  <c r="M339" i="21" s="1"/>
  <c r="P339" i="21" s="1"/>
  <c r="N341" i="21"/>
  <c r="N339" i="21" s="1"/>
  <c r="I344" i="21"/>
  <c r="I332" i="21" s="1"/>
  <c r="J344" i="21"/>
  <c r="I346" i="21"/>
  <c r="J346" i="21"/>
  <c r="J347" i="21"/>
  <c r="J348" i="21"/>
  <c r="J349" i="21"/>
  <c r="D350" i="21"/>
  <c r="J352" i="21"/>
  <c r="J353" i="21"/>
  <c r="D354" i="21"/>
  <c r="L357" i="21"/>
  <c r="M357" i="21"/>
  <c r="P357" i="21" s="1"/>
  <c r="N357" i="21"/>
  <c r="O360" i="21"/>
  <c r="P360" i="21"/>
  <c r="L361" i="21"/>
  <c r="M361" i="21"/>
  <c r="M359" i="21" s="1"/>
  <c r="N361" i="21"/>
  <c r="O363" i="21"/>
  <c r="P363" i="21"/>
  <c r="L364" i="21"/>
  <c r="L362" i="21" s="1"/>
  <c r="O362" i="21" s="1"/>
  <c r="M364" i="21"/>
  <c r="M362" i="21" s="1"/>
  <c r="P362" i="21" s="1"/>
  <c r="N364" i="21"/>
  <c r="N362" i="21" s="1"/>
  <c r="J367" i="21"/>
  <c r="K367" i="21"/>
  <c r="I368" i="21"/>
  <c r="J368" i="21"/>
  <c r="I369" i="21"/>
  <c r="J369" i="21"/>
  <c r="J370" i="21"/>
  <c r="K370" i="21"/>
  <c r="I371" i="21"/>
  <c r="I365" i="21" s="1"/>
  <c r="J371" i="21"/>
  <c r="J365" i="21" s="1"/>
  <c r="J372" i="21"/>
  <c r="K372" i="21"/>
  <c r="D373" i="21"/>
  <c r="I376" i="21"/>
  <c r="K376" i="21" s="1"/>
  <c r="J376" i="21"/>
  <c r="L378" i="21"/>
  <c r="O378" i="21" s="1"/>
  <c r="M378" i="21"/>
  <c r="P378" i="21" s="1"/>
  <c r="N378" i="21"/>
  <c r="O381" i="21"/>
  <c r="P381" i="21"/>
  <c r="L382" i="21"/>
  <c r="L380" i="21" s="1"/>
  <c r="O380" i="21" s="1"/>
  <c r="M382" i="21"/>
  <c r="N382" i="21"/>
  <c r="N380" i="21" s="1"/>
  <c r="O384" i="21"/>
  <c r="P384" i="21"/>
  <c r="L385" i="21"/>
  <c r="L383" i="21" s="1"/>
  <c r="O383" i="21" s="1"/>
  <c r="M385" i="21"/>
  <c r="M383" i="21" s="1"/>
  <c r="P383" i="21" s="1"/>
  <c r="N385" i="21"/>
  <c r="N383" i="21" s="1"/>
  <c r="K387" i="21"/>
  <c r="K388" i="21"/>
  <c r="A391" i="21"/>
  <c r="L22" i="20"/>
  <c r="O22" i="20" s="1"/>
  <c r="M22" i="20"/>
  <c r="N22" i="20"/>
  <c r="L25" i="20"/>
  <c r="M25" i="20"/>
  <c r="P25" i="20" s="1"/>
  <c r="N25" i="20"/>
  <c r="L45" i="20"/>
  <c r="M45" i="20"/>
  <c r="N45" i="20"/>
  <c r="P45" i="20"/>
  <c r="O48" i="20"/>
  <c r="P48" i="20"/>
  <c r="L49" i="20"/>
  <c r="M49" i="20"/>
  <c r="M47" i="20" s="1"/>
  <c r="N49" i="20"/>
  <c r="O51" i="20"/>
  <c r="P51" i="20"/>
  <c r="L52" i="20"/>
  <c r="L50" i="20" s="1"/>
  <c r="O50" i="20" s="1"/>
  <c r="M52" i="20"/>
  <c r="M50" i="20" s="1"/>
  <c r="P50" i="20" s="1"/>
  <c r="N52" i="20"/>
  <c r="N50" i="20" s="1"/>
  <c r="L60" i="20"/>
  <c r="M60" i="20"/>
  <c r="N60" i="20"/>
  <c r="O60" i="20"/>
  <c r="O63" i="20"/>
  <c r="P63" i="20"/>
  <c r="L64" i="20"/>
  <c r="M64" i="20"/>
  <c r="N64" i="20"/>
  <c r="O66" i="20"/>
  <c r="P66" i="20"/>
  <c r="L67" i="20"/>
  <c r="O67" i="20" s="1"/>
  <c r="M67" i="20"/>
  <c r="M65" i="20" s="1"/>
  <c r="P65" i="20" s="1"/>
  <c r="N67" i="20"/>
  <c r="N65" i="20" s="1"/>
  <c r="L73" i="20"/>
  <c r="M73" i="20"/>
  <c r="P73" i="20" s="1"/>
  <c r="N73" i="20"/>
  <c r="O76" i="20"/>
  <c r="P76" i="20"/>
  <c r="L77" i="20"/>
  <c r="M77" i="20"/>
  <c r="M75" i="20" s="1"/>
  <c r="P75" i="20" s="1"/>
  <c r="N77" i="20"/>
  <c r="O79" i="20"/>
  <c r="P79" i="20"/>
  <c r="L80" i="20"/>
  <c r="L78" i="20" s="1"/>
  <c r="O78" i="20" s="1"/>
  <c r="M80" i="20"/>
  <c r="N80" i="20"/>
  <c r="N78" i="20" s="1"/>
  <c r="J82" i="20"/>
  <c r="J70" i="20" s="1"/>
  <c r="J83" i="20"/>
  <c r="J71" i="20" s="1"/>
  <c r="I84" i="20"/>
  <c r="K84" i="20" s="1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O95" i="20" s="1"/>
  <c r="M95" i="20"/>
  <c r="N95" i="20"/>
  <c r="O98" i="20"/>
  <c r="P98" i="20"/>
  <c r="L99" i="20"/>
  <c r="L97" i="20" s="1"/>
  <c r="O97" i="20" s="1"/>
  <c r="M99" i="20"/>
  <c r="M97" i="20" s="1"/>
  <c r="P97" i="20" s="1"/>
  <c r="N99" i="20"/>
  <c r="N97" i="20" s="1"/>
  <c r="O101" i="20"/>
  <c r="P101" i="20"/>
  <c r="L102" i="20"/>
  <c r="L100" i="20" s="1"/>
  <c r="O100" i="20" s="1"/>
  <c r="M102" i="20"/>
  <c r="M100" i="20" s="1"/>
  <c r="P100" i="20" s="1"/>
  <c r="N102" i="20"/>
  <c r="N100" i="20" s="1"/>
  <c r="I108" i="20"/>
  <c r="K108" i="20" s="1"/>
  <c r="I109" i="20"/>
  <c r="I93" i="20" s="1"/>
  <c r="K93" i="20" s="1"/>
  <c r="I117" i="20"/>
  <c r="K117" i="20" s="1"/>
  <c r="L126" i="20"/>
  <c r="M126" i="20"/>
  <c r="P126" i="20" s="1"/>
  <c r="N126" i="20"/>
  <c r="O129" i="20"/>
  <c r="P129" i="20"/>
  <c r="L130" i="20"/>
  <c r="M130" i="20"/>
  <c r="P130" i="20" s="1"/>
  <c r="N130" i="20"/>
  <c r="N128" i="20" s="1"/>
  <c r="O132" i="20"/>
  <c r="P132" i="20"/>
  <c r="L133" i="20"/>
  <c r="L131" i="20" s="1"/>
  <c r="O131" i="20" s="1"/>
  <c r="M133" i="20"/>
  <c r="P133" i="20" s="1"/>
  <c r="N133" i="20"/>
  <c r="N131" i="20" s="1"/>
  <c r="J136" i="20"/>
  <c r="J137" i="20"/>
  <c r="J138" i="20"/>
  <c r="L140" i="20"/>
  <c r="M140" i="20"/>
  <c r="N140" i="20"/>
  <c r="P140" i="20"/>
  <c r="O143" i="20"/>
  <c r="P143" i="20"/>
  <c r="L144" i="20"/>
  <c r="M144" i="20"/>
  <c r="P144" i="20" s="1"/>
  <c r="N144" i="20"/>
  <c r="N142" i="20" s="1"/>
  <c r="O146" i="20"/>
  <c r="P146" i="20"/>
  <c r="L147" i="20"/>
  <c r="L145" i="20" s="1"/>
  <c r="O145" i="20" s="1"/>
  <c r="M147" i="20"/>
  <c r="P147" i="20" s="1"/>
  <c r="N147" i="20"/>
  <c r="N145" i="20" s="1"/>
  <c r="I150" i="20"/>
  <c r="K150" i="20" s="1"/>
  <c r="I151" i="20"/>
  <c r="K151" i="20" s="1"/>
  <c r="I152" i="20"/>
  <c r="I153" i="20"/>
  <c r="K153" i="20" s="1"/>
  <c r="I154" i="20"/>
  <c r="K154" i="20" s="1"/>
  <c r="J156" i="20"/>
  <c r="L158" i="20"/>
  <c r="O158" i="20" s="1"/>
  <c r="M158" i="20"/>
  <c r="N158" i="20"/>
  <c r="P158" i="20"/>
  <c r="O161" i="20"/>
  <c r="P161" i="20"/>
  <c r="L162" i="20"/>
  <c r="O162" i="20" s="1"/>
  <c r="M162" i="20"/>
  <c r="N162" i="20"/>
  <c r="O164" i="20"/>
  <c r="P164" i="20"/>
  <c r="L165" i="20"/>
  <c r="L163" i="20" s="1"/>
  <c r="O163" i="20" s="1"/>
  <c r="M165" i="20"/>
  <c r="N165" i="20"/>
  <c r="N163" i="20" s="1"/>
  <c r="I167" i="20"/>
  <c r="K167" i="20" s="1"/>
  <c r="I168" i="20"/>
  <c r="K168" i="20" s="1"/>
  <c r="I169" i="20"/>
  <c r="K169" i="20" s="1"/>
  <c r="J172" i="20"/>
  <c r="L174" i="20"/>
  <c r="O174" i="20" s="1"/>
  <c r="M174" i="20"/>
  <c r="P174" i="20" s="1"/>
  <c r="N174" i="20"/>
  <c r="O177" i="20"/>
  <c r="P177" i="20"/>
  <c r="L178" i="20"/>
  <c r="M178" i="20"/>
  <c r="N178" i="20"/>
  <c r="N176" i="20" s="1"/>
  <c r="O180" i="20"/>
  <c r="P180" i="20"/>
  <c r="L181" i="20"/>
  <c r="L179" i="20" s="1"/>
  <c r="O179" i="20" s="1"/>
  <c r="M181" i="20"/>
  <c r="N181" i="20"/>
  <c r="I183" i="20"/>
  <c r="K183" i="20" s="1"/>
  <c r="K184" i="20"/>
  <c r="L187" i="20"/>
  <c r="O187" i="20" s="1"/>
  <c r="M187" i="20"/>
  <c r="P187" i="20" s="1"/>
  <c r="N187" i="20"/>
  <c r="O190" i="20"/>
  <c r="P190" i="20"/>
  <c r="L191" i="20"/>
  <c r="L189" i="20" s="1"/>
  <c r="M191" i="20"/>
  <c r="M189" i="20" s="1"/>
  <c r="N191" i="20"/>
  <c r="N189" i="20" s="1"/>
  <c r="O193" i="20"/>
  <c r="P193" i="20"/>
  <c r="L194" i="20"/>
  <c r="M194" i="20"/>
  <c r="P194" i="20" s="1"/>
  <c r="N194" i="20"/>
  <c r="N192" i="20" s="1"/>
  <c r="J195" i="20"/>
  <c r="L196" i="20"/>
  <c r="O196" i="20" s="1"/>
  <c r="P196" i="20"/>
  <c r="I198" i="20"/>
  <c r="I195" i="20" s="1"/>
  <c r="K195" i="20" s="1"/>
  <c r="J199" i="20"/>
  <c r="J202" i="20"/>
  <c r="N203" i="20"/>
  <c r="P203" i="20"/>
  <c r="L204" i="20"/>
  <c r="L205" i="20"/>
  <c r="L206" i="20"/>
  <c r="I209" i="20"/>
  <c r="K209" i="20" s="1"/>
  <c r="I211" i="20"/>
  <c r="K211" i="20" s="1"/>
  <c r="I212" i="20"/>
  <c r="K212" i="20" s="1"/>
  <c r="J213" i="20"/>
  <c r="N214" i="20"/>
  <c r="P214" i="20"/>
  <c r="L215" i="20"/>
  <c r="L216" i="20"/>
  <c r="L217" i="20"/>
  <c r="I219" i="20"/>
  <c r="K219" i="20" s="1"/>
  <c r="I220" i="20"/>
  <c r="K220" i="20" s="1"/>
  <c r="J221" i="20"/>
  <c r="N222" i="20"/>
  <c r="P222" i="20"/>
  <c r="L223" i="20"/>
  <c r="L224" i="20"/>
  <c r="L225" i="20"/>
  <c r="I228" i="20"/>
  <c r="K228" i="20" s="1"/>
  <c r="I229" i="20"/>
  <c r="I221" i="20" s="1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N232" i="20" s="1"/>
  <c r="P243" i="20"/>
  <c r="L244" i="20"/>
  <c r="L245" i="20"/>
  <c r="L246" i="20"/>
  <c r="L247" i="20"/>
  <c r="I249" i="20"/>
  <c r="I242" i="20" s="1"/>
  <c r="K242" i="20" s="1"/>
  <c r="K251" i="20"/>
  <c r="K252" i="20"/>
  <c r="J253" i="20"/>
  <c r="N254" i="20"/>
  <c r="P254" i="20"/>
  <c r="L255" i="20"/>
  <c r="L256" i="20"/>
  <c r="L257" i="20"/>
  <c r="L258" i="20"/>
  <c r="I260" i="20"/>
  <c r="K262" i="20"/>
  <c r="K263" i="20"/>
  <c r="I265" i="20"/>
  <c r="K265" i="20" s="1"/>
  <c r="J265" i="20"/>
  <c r="L267" i="20"/>
  <c r="O267" i="20" s="1"/>
  <c r="M267" i="20"/>
  <c r="N267" i="20"/>
  <c r="P267" i="20"/>
  <c r="O270" i="20"/>
  <c r="P270" i="20"/>
  <c r="L271" i="20"/>
  <c r="L269" i="20" s="1"/>
  <c r="O269" i="20" s="1"/>
  <c r="M271" i="20"/>
  <c r="N271" i="20"/>
  <c r="O273" i="20"/>
  <c r="P273" i="20"/>
  <c r="L274" i="20"/>
  <c r="L272" i="20" s="1"/>
  <c r="O272" i="20" s="1"/>
  <c r="M274" i="20"/>
  <c r="M272" i="20" s="1"/>
  <c r="P272" i="20" s="1"/>
  <c r="N274" i="20"/>
  <c r="N272" i="20" s="1"/>
  <c r="J281" i="20"/>
  <c r="L283" i="20"/>
  <c r="M283" i="20"/>
  <c r="P283" i="20" s="1"/>
  <c r="N283" i="20"/>
  <c r="O286" i="20"/>
  <c r="P286" i="20"/>
  <c r="L287" i="20"/>
  <c r="L285" i="20" s="1"/>
  <c r="O285" i="20" s="1"/>
  <c r="M287" i="20"/>
  <c r="M285" i="20" s="1"/>
  <c r="P285" i="20" s="1"/>
  <c r="N287" i="20"/>
  <c r="O289" i="20"/>
  <c r="P289" i="20"/>
  <c r="L290" i="20"/>
  <c r="L288" i="20" s="1"/>
  <c r="O288" i="20" s="1"/>
  <c r="M290" i="20"/>
  <c r="M288" i="20" s="1"/>
  <c r="P288" i="20" s="1"/>
  <c r="N290" i="20"/>
  <c r="N288" i="20" s="1"/>
  <c r="I292" i="20"/>
  <c r="I281" i="20" s="1"/>
  <c r="K281" i="20" s="1"/>
  <c r="I293" i="20"/>
  <c r="I280" i="20" s="1"/>
  <c r="K280" i="20" s="1"/>
  <c r="J293" i="20"/>
  <c r="J280" i="20" s="1"/>
  <c r="I295" i="20"/>
  <c r="K295" i="20" s="1"/>
  <c r="I296" i="20"/>
  <c r="K296" i="20" s="1"/>
  <c r="J302" i="20"/>
  <c r="L304" i="20"/>
  <c r="M304" i="20"/>
  <c r="P304" i="20" s="1"/>
  <c r="N304" i="20"/>
  <c r="O304" i="20"/>
  <c r="O307" i="20"/>
  <c r="P307" i="20"/>
  <c r="L308" i="20"/>
  <c r="M308" i="20"/>
  <c r="M306" i="20" s="1"/>
  <c r="P306" i="20" s="1"/>
  <c r="N308" i="20"/>
  <c r="N306" i="20" s="1"/>
  <c r="O310" i="20"/>
  <c r="P310" i="20"/>
  <c r="L311" i="20"/>
  <c r="O311" i="20" s="1"/>
  <c r="M311" i="20"/>
  <c r="N311" i="20"/>
  <c r="N309" i="20" s="1"/>
  <c r="I314" i="20"/>
  <c r="I302" i="20" s="1"/>
  <c r="K302" i="20" s="1"/>
  <c r="I315" i="20"/>
  <c r="K315" i="20" s="1"/>
  <c r="I316" i="20"/>
  <c r="K316" i="20" s="1"/>
  <c r="I317" i="20"/>
  <c r="K317" i="20" s="1"/>
  <c r="J319" i="20"/>
  <c r="L321" i="20"/>
  <c r="M321" i="20"/>
  <c r="P321" i="20" s="1"/>
  <c r="N321" i="20"/>
  <c r="O324" i="20"/>
  <c r="P324" i="20"/>
  <c r="L325" i="20"/>
  <c r="O325" i="20" s="1"/>
  <c r="M325" i="20"/>
  <c r="M323" i="20" s="1"/>
  <c r="P323" i="20" s="1"/>
  <c r="N325" i="20"/>
  <c r="N323" i="20" s="1"/>
  <c r="O327" i="20"/>
  <c r="P327" i="20"/>
  <c r="L328" i="20"/>
  <c r="L326" i="20" s="1"/>
  <c r="O326" i="20" s="1"/>
  <c r="M328" i="20"/>
  <c r="P328" i="20" s="1"/>
  <c r="N328" i="20"/>
  <c r="N326" i="20" s="1"/>
  <c r="I330" i="20"/>
  <c r="I319" i="20" s="1"/>
  <c r="K319" i="20" s="1"/>
  <c r="L334" i="20"/>
  <c r="M334" i="20"/>
  <c r="P334" i="20" s="1"/>
  <c r="N334" i="20"/>
  <c r="O337" i="20"/>
  <c r="P337" i="20"/>
  <c r="L338" i="20"/>
  <c r="M338" i="20"/>
  <c r="N338" i="20"/>
  <c r="N336" i="20" s="1"/>
  <c r="O340" i="20"/>
  <c r="P340" i="20"/>
  <c r="L341" i="20"/>
  <c r="O341" i="20" s="1"/>
  <c r="M341" i="20"/>
  <c r="P341" i="20" s="1"/>
  <c r="N341" i="20"/>
  <c r="N339" i="20" s="1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M357" i="20"/>
  <c r="N357" i="20"/>
  <c r="P357" i="20"/>
  <c r="O360" i="20"/>
  <c r="P360" i="20"/>
  <c r="L361" i="20"/>
  <c r="M361" i="20"/>
  <c r="N361" i="20"/>
  <c r="N359" i="20" s="1"/>
  <c r="O363" i="20"/>
  <c r="P363" i="20"/>
  <c r="L364" i="20"/>
  <c r="O364" i="20" s="1"/>
  <c r="M364" i="20"/>
  <c r="P364" i="20" s="1"/>
  <c r="N364" i="20"/>
  <c r="N362" i="20" s="1"/>
  <c r="J367" i="20"/>
  <c r="K367" i="20"/>
  <c r="I368" i="20"/>
  <c r="K368" i="20" s="1"/>
  <c r="J368" i="20"/>
  <c r="I369" i="20"/>
  <c r="K369" i="20" s="1"/>
  <c r="J369" i="20"/>
  <c r="J370" i="20"/>
  <c r="K370" i="20"/>
  <c r="I371" i="20"/>
  <c r="K371" i="20" s="1"/>
  <c r="J371" i="20"/>
  <c r="J365" i="20" s="1"/>
  <c r="J372" i="20"/>
  <c r="K372" i="20"/>
  <c r="D373" i="20"/>
  <c r="I376" i="20"/>
  <c r="K376" i="20" s="1"/>
  <c r="J376" i="20"/>
  <c r="L378" i="20"/>
  <c r="M378" i="20"/>
  <c r="N378" i="20"/>
  <c r="O378" i="20"/>
  <c r="O381" i="20"/>
  <c r="P381" i="20"/>
  <c r="L382" i="20"/>
  <c r="M382" i="20"/>
  <c r="M380" i="20" s="1"/>
  <c r="P380" i="20" s="1"/>
  <c r="N382" i="20"/>
  <c r="N380" i="20" s="1"/>
  <c r="O384" i="20"/>
  <c r="P384" i="20"/>
  <c r="L385" i="20"/>
  <c r="O385" i="20" s="1"/>
  <c r="M385" i="20"/>
  <c r="M383" i="20" s="1"/>
  <c r="P383" i="20" s="1"/>
  <c r="N385" i="20"/>
  <c r="N383" i="20" s="1"/>
  <c r="K387" i="20"/>
  <c r="K388" i="20"/>
  <c r="A391" i="20"/>
  <c r="L22" i="19"/>
  <c r="O22" i="19" s="1"/>
  <c r="M22" i="19"/>
  <c r="N22" i="19"/>
  <c r="N19" i="19" s="1"/>
  <c r="L25" i="19"/>
  <c r="M25" i="19"/>
  <c r="P25" i="19" s="1"/>
  <c r="N25" i="19"/>
  <c r="L45" i="19"/>
  <c r="M45" i="19"/>
  <c r="N45" i="19"/>
  <c r="O45" i="19"/>
  <c r="P45" i="19"/>
  <c r="O48" i="19"/>
  <c r="P48" i="19"/>
  <c r="L49" i="19"/>
  <c r="L47" i="19" s="1"/>
  <c r="M49" i="19"/>
  <c r="M47" i="19" s="1"/>
  <c r="N49" i="19"/>
  <c r="N47" i="19" s="1"/>
  <c r="O51" i="19"/>
  <c r="P51" i="19"/>
  <c r="L52" i="19"/>
  <c r="L50" i="19" s="1"/>
  <c r="O50" i="19" s="1"/>
  <c r="M52" i="19"/>
  <c r="M50" i="19" s="1"/>
  <c r="P50" i="19" s="1"/>
  <c r="N52" i="19"/>
  <c r="L60" i="19"/>
  <c r="O60" i="19" s="1"/>
  <c r="M60" i="19"/>
  <c r="N60" i="19"/>
  <c r="O63" i="19"/>
  <c r="P63" i="19"/>
  <c r="L64" i="19"/>
  <c r="M64" i="19"/>
  <c r="N64" i="19"/>
  <c r="O66" i="19"/>
  <c r="P66" i="19"/>
  <c r="L67" i="19"/>
  <c r="M67" i="19"/>
  <c r="P67" i="19" s="1"/>
  <c r="N67" i="19"/>
  <c r="N65" i="19" s="1"/>
  <c r="L73" i="19"/>
  <c r="O73" i="19" s="1"/>
  <c r="M73" i="19"/>
  <c r="N73" i="19"/>
  <c r="P73" i="19"/>
  <c r="O76" i="19"/>
  <c r="P76" i="19"/>
  <c r="L77" i="19"/>
  <c r="M77" i="19"/>
  <c r="M75" i="19" s="1"/>
  <c r="P75" i="19" s="1"/>
  <c r="N77" i="19"/>
  <c r="N75" i="19" s="1"/>
  <c r="O79" i="19"/>
  <c r="P79" i="19"/>
  <c r="L80" i="19"/>
  <c r="O80" i="19" s="1"/>
  <c r="M80" i="19"/>
  <c r="M78" i="19" s="1"/>
  <c r="P78" i="19" s="1"/>
  <c r="N80" i="19"/>
  <c r="N78" i="19" s="1"/>
  <c r="J82" i="19"/>
  <c r="J70" i="19" s="1"/>
  <c r="J83" i="19"/>
  <c r="J71" i="19" s="1"/>
  <c r="I84" i="19"/>
  <c r="K84" i="19" s="1"/>
  <c r="I85" i="19"/>
  <c r="K85" i="19" s="1"/>
  <c r="I86" i="19"/>
  <c r="K86" i="19" s="1"/>
  <c r="I87" i="19"/>
  <c r="I88" i="19"/>
  <c r="K88" i="19" s="1"/>
  <c r="I89" i="19"/>
  <c r="K89" i="19" s="1"/>
  <c r="I90" i="19"/>
  <c r="K90" i="19" s="1"/>
  <c r="J92" i="19"/>
  <c r="J93" i="19"/>
  <c r="L95" i="19"/>
  <c r="M95" i="19"/>
  <c r="N95" i="19"/>
  <c r="O95" i="19"/>
  <c r="P95" i="19"/>
  <c r="O98" i="19"/>
  <c r="P98" i="19"/>
  <c r="L99" i="19"/>
  <c r="O99" i="19" s="1"/>
  <c r="M99" i="19"/>
  <c r="M97" i="19" s="1"/>
  <c r="P97" i="19" s="1"/>
  <c r="N99" i="19"/>
  <c r="N97" i="19" s="1"/>
  <c r="O101" i="19"/>
  <c r="P101" i="19"/>
  <c r="L102" i="19"/>
  <c r="O102" i="19" s="1"/>
  <c r="M102" i="19"/>
  <c r="M100" i="19" s="1"/>
  <c r="P100" i="19" s="1"/>
  <c r="N102" i="19"/>
  <c r="N100" i="19" s="1"/>
  <c r="I108" i="19"/>
  <c r="I109" i="19"/>
  <c r="K109" i="19" s="1"/>
  <c r="I117" i="19"/>
  <c r="K117" i="19" s="1"/>
  <c r="L126" i="19"/>
  <c r="O126" i="19" s="1"/>
  <c r="M126" i="19"/>
  <c r="P126" i="19" s="1"/>
  <c r="N126" i="19"/>
  <c r="O129" i="19"/>
  <c r="P129" i="19"/>
  <c r="L130" i="19"/>
  <c r="M130" i="19"/>
  <c r="N130" i="19"/>
  <c r="N128" i="19" s="1"/>
  <c r="O132" i="19"/>
  <c r="P132" i="19"/>
  <c r="L133" i="19"/>
  <c r="M133" i="19"/>
  <c r="N133" i="19"/>
  <c r="N131" i="19" s="1"/>
  <c r="J136" i="19"/>
  <c r="J137" i="19"/>
  <c r="J138" i="19"/>
  <c r="L140" i="19"/>
  <c r="O140" i="19" s="1"/>
  <c r="M140" i="19"/>
  <c r="P140" i="19" s="1"/>
  <c r="N140" i="19"/>
  <c r="O143" i="19"/>
  <c r="P143" i="19"/>
  <c r="L144" i="19"/>
  <c r="L142" i="19" s="1"/>
  <c r="M144" i="19"/>
  <c r="N144" i="19"/>
  <c r="N142" i="19" s="1"/>
  <c r="O146" i="19"/>
  <c r="P146" i="19"/>
  <c r="L147" i="19"/>
  <c r="L145" i="19" s="1"/>
  <c r="O145" i="19" s="1"/>
  <c r="M147" i="19"/>
  <c r="N147" i="19"/>
  <c r="I150" i="19"/>
  <c r="K150" i="19" s="1"/>
  <c r="I151" i="19"/>
  <c r="K151" i="19" s="1"/>
  <c r="I152" i="19"/>
  <c r="K152" i="19" s="1"/>
  <c r="I153" i="19"/>
  <c r="I138" i="19" s="1"/>
  <c r="K138" i="19" s="1"/>
  <c r="I154" i="19"/>
  <c r="I136" i="19" s="1"/>
  <c r="K136" i="19" s="1"/>
  <c r="J156" i="19"/>
  <c r="L158" i="19"/>
  <c r="M158" i="19"/>
  <c r="N158" i="19"/>
  <c r="O158" i="19"/>
  <c r="P158" i="19"/>
  <c r="O161" i="19"/>
  <c r="P161" i="19"/>
  <c r="L162" i="19"/>
  <c r="M162" i="19"/>
  <c r="M160" i="19" s="1"/>
  <c r="P160" i="19" s="1"/>
  <c r="N162" i="19"/>
  <c r="N160" i="19" s="1"/>
  <c r="O164" i="19"/>
  <c r="P164" i="19"/>
  <c r="L165" i="19"/>
  <c r="L163" i="19" s="1"/>
  <c r="O163" i="19" s="1"/>
  <c r="M165" i="19"/>
  <c r="M163" i="19" s="1"/>
  <c r="P163" i="19" s="1"/>
  <c r="N165" i="19"/>
  <c r="N163" i="19" s="1"/>
  <c r="I167" i="19"/>
  <c r="I169" i="19" s="1"/>
  <c r="K169" i="19" s="1"/>
  <c r="J172" i="19"/>
  <c r="L174" i="19"/>
  <c r="M174" i="19"/>
  <c r="P174" i="19" s="1"/>
  <c r="N174" i="19"/>
  <c r="O174" i="19"/>
  <c r="O177" i="19"/>
  <c r="P177" i="19"/>
  <c r="L178" i="19"/>
  <c r="M178" i="19"/>
  <c r="M176" i="19" s="1"/>
  <c r="N178" i="19"/>
  <c r="N176" i="19" s="1"/>
  <c r="O180" i="19"/>
  <c r="P180" i="19"/>
  <c r="L181" i="19"/>
  <c r="L179" i="19" s="1"/>
  <c r="O179" i="19" s="1"/>
  <c r="M181" i="19"/>
  <c r="M179" i="19" s="1"/>
  <c r="P179" i="19" s="1"/>
  <c r="N181" i="19"/>
  <c r="N179" i="19" s="1"/>
  <c r="I183" i="19"/>
  <c r="K183" i="19" s="1"/>
  <c r="K184" i="19"/>
  <c r="L187" i="19"/>
  <c r="O187" i="19" s="1"/>
  <c r="M187" i="19"/>
  <c r="N187" i="19"/>
  <c r="O190" i="19"/>
  <c r="P190" i="19"/>
  <c r="L191" i="19"/>
  <c r="M191" i="19"/>
  <c r="N191" i="19"/>
  <c r="N189" i="19" s="1"/>
  <c r="O193" i="19"/>
  <c r="P193" i="19"/>
  <c r="L194" i="19"/>
  <c r="M194" i="19"/>
  <c r="P194" i="19" s="1"/>
  <c r="N194" i="19"/>
  <c r="J195" i="19"/>
  <c r="L196" i="19"/>
  <c r="O196" i="19" s="1"/>
  <c r="P196" i="19"/>
  <c r="I198" i="19"/>
  <c r="K198" i="19" s="1"/>
  <c r="J199" i="19"/>
  <c r="J202" i="19"/>
  <c r="N203" i="19"/>
  <c r="P203" i="19"/>
  <c r="L204" i="19"/>
  <c r="L205" i="19"/>
  <c r="L206" i="19"/>
  <c r="L207" i="19"/>
  <c r="I209" i="19"/>
  <c r="K209" i="19" s="1"/>
  <c r="I211" i="19"/>
  <c r="K211" i="19" s="1"/>
  <c r="I212" i="19"/>
  <c r="K212" i="19" s="1"/>
  <c r="J213" i="19"/>
  <c r="N214" i="19"/>
  <c r="P214" i="19"/>
  <c r="L215" i="19"/>
  <c r="L216" i="19"/>
  <c r="L217" i="19"/>
  <c r="I219" i="19"/>
  <c r="K219" i="19" s="1"/>
  <c r="I220" i="19"/>
  <c r="K220" i="19" s="1"/>
  <c r="J221" i="19"/>
  <c r="N222" i="19"/>
  <c r="P222" i="19"/>
  <c r="L223" i="19"/>
  <c r="L224" i="19"/>
  <c r="L225" i="19"/>
  <c r="I228" i="19"/>
  <c r="K228" i="19" s="1"/>
  <c r="I229" i="19"/>
  <c r="I221" i="19" s="1"/>
  <c r="I230" i="19"/>
  <c r="K230" i="19" s="1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J231" i="19" s="1"/>
  <c r="J185" i="19" s="1"/>
  <c r="N243" i="19"/>
  <c r="N232" i="19" s="1"/>
  <c r="P243" i="19"/>
  <c r="L244" i="19"/>
  <c r="L245" i="19"/>
  <c r="L246" i="19"/>
  <c r="L247" i="19"/>
  <c r="I249" i="19"/>
  <c r="I242" i="19" s="1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I265" i="19"/>
  <c r="K265" i="19" s="1"/>
  <c r="J265" i="19"/>
  <c r="L267" i="19"/>
  <c r="O267" i="19" s="1"/>
  <c r="M267" i="19"/>
  <c r="P267" i="19" s="1"/>
  <c r="N267" i="19"/>
  <c r="O270" i="19"/>
  <c r="P270" i="19"/>
  <c r="L271" i="19"/>
  <c r="O271" i="19" s="1"/>
  <c r="M271" i="19"/>
  <c r="P271" i="19" s="1"/>
  <c r="N271" i="19"/>
  <c r="N269" i="19" s="1"/>
  <c r="O273" i="19"/>
  <c r="P273" i="19"/>
  <c r="L274" i="19"/>
  <c r="O274" i="19" s="1"/>
  <c r="M274" i="19"/>
  <c r="P274" i="19" s="1"/>
  <c r="N274" i="19"/>
  <c r="N272" i="19" s="1"/>
  <c r="J280" i="19"/>
  <c r="J281" i="19"/>
  <c r="L283" i="19"/>
  <c r="M283" i="19"/>
  <c r="N283" i="19"/>
  <c r="O283" i="19"/>
  <c r="O286" i="19"/>
  <c r="P286" i="19"/>
  <c r="L287" i="19"/>
  <c r="M287" i="19"/>
  <c r="M285" i="19" s="1"/>
  <c r="P285" i="19" s="1"/>
  <c r="N287" i="19"/>
  <c r="N285" i="19" s="1"/>
  <c r="O289" i="19"/>
  <c r="P289" i="19"/>
  <c r="L290" i="19"/>
  <c r="M290" i="19"/>
  <c r="M288" i="19" s="1"/>
  <c r="P288" i="19" s="1"/>
  <c r="N290" i="19"/>
  <c r="N288" i="19" s="1"/>
  <c r="I292" i="19"/>
  <c r="K292" i="19" s="1"/>
  <c r="I293" i="19"/>
  <c r="J293" i="19"/>
  <c r="I295" i="19"/>
  <c r="K295" i="19" s="1"/>
  <c r="I296" i="19"/>
  <c r="K296" i="19" s="1"/>
  <c r="J302" i="19"/>
  <c r="L304" i="19"/>
  <c r="O304" i="19" s="1"/>
  <c r="M304" i="19"/>
  <c r="N304" i="19"/>
  <c r="O307" i="19"/>
  <c r="P307" i="19"/>
  <c r="L308" i="19"/>
  <c r="O308" i="19" s="1"/>
  <c r="M308" i="19"/>
  <c r="P308" i="19" s="1"/>
  <c r="N308" i="19"/>
  <c r="N306" i="19" s="1"/>
  <c r="O310" i="19"/>
  <c r="P310" i="19"/>
  <c r="L311" i="19"/>
  <c r="O311" i="19" s="1"/>
  <c r="M311" i="19"/>
  <c r="P311" i="19" s="1"/>
  <c r="N311" i="19"/>
  <c r="I314" i="19"/>
  <c r="I302" i="19" s="1"/>
  <c r="K302" i="19" s="1"/>
  <c r="I315" i="19"/>
  <c r="K315" i="19" s="1"/>
  <c r="I316" i="19"/>
  <c r="K316" i="19" s="1"/>
  <c r="I317" i="19"/>
  <c r="K317" i="19" s="1"/>
  <c r="J319" i="19"/>
  <c r="L321" i="19"/>
  <c r="M321" i="19"/>
  <c r="N321" i="19"/>
  <c r="O321" i="19"/>
  <c r="P321" i="19"/>
  <c r="O324" i="19"/>
  <c r="P324" i="19"/>
  <c r="L325" i="19"/>
  <c r="L323" i="19" s="1"/>
  <c r="O323" i="19" s="1"/>
  <c r="M325" i="19"/>
  <c r="M323" i="19" s="1"/>
  <c r="P323" i="19" s="1"/>
  <c r="N325" i="19"/>
  <c r="N323" i="19" s="1"/>
  <c r="O327" i="19"/>
  <c r="P327" i="19"/>
  <c r="L328" i="19"/>
  <c r="L326" i="19" s="1"/>
  <c r="O326" i="19" s="1"/>
  <c r="M328" i="19"/>
  <c r="M326" i="19" s="1"/>
  <c r="P326" i="19" s="1"/>
  <c r="N328" i="19"/>
  <c r="N326" i="19" s="1"/>
  <c r="I330" i="19"/>
  <c r="I319" i="19" s="1"/>
  <c r="K319" i="19" s="1"/>
  <c r="L334" i="19"/>
  <c r="M334" i="19"/>
  <c r="N334" i="19"/>
  <c r="O337" i="19"/>
  <c r="P337" i="19"/>
  <c r="L338" i="19"/>
  <c r="M338" i="19"/>
  <c r="N338" i="19"/>
  <c r="O340" i="19"/>
  <c r="P340" i="19"/>
  <c r="L341" i="19"/>
  <c r="O341" i="19" s="1"/>
  <c r="M341" i="19"/>
  <c r="P341" i="19" s="1"/>
  <c r="N341" i="19"/>
  <c r="N339" i="19" s="1"/>
  <c r="I344" i="19"/>
  <c r="I332" i="19" s="1"/>
  <c r="J344" i="19"/>
  <c r="I346" i="19"/>
  <c r="J346" i="19"/>
  <c r="J347" i="19"/>
  <c r="J348" i="19"/>
  <c r="J349" i="19"/>
  <c r="D350" i="19"/>
  <c r="J352" i="19"/>
  <c r="J353" i="19"/>
  <c r="D354" i="19"/>
  <c r="L357" i="19"/>
  <c r="O357" i="19" s="1"/>
  <c r="M357" i="19"/>
  <c r="N357" i="19"/>
  <c r="O360" i="19"/>
  <c r="P360" i="19"/>
  <c r="L361" i="19"/>
  <c r="M361" i="19"/>
  <c r="N361" i="19"/>
  <c r="O363" i="19"/>
  <c r="P363" i="19"/>
  <c r="L364" i="19"/>
  <c r="O364" i="19" s="1"/>
  <c r="M364" i="19"/>
  <c r="P364" i="19" s="1"/>
  <c r="N364" i="19"/>
  <c r="N362" i="19" s="1"/>
  <c r="J367" i="19"/>
  <c r="K367" i="19"/>
  <c r="I368" i="19"/>
  <c r="J368" i="19"/>
  <c r="I369" i="19"/>
  <c r="J369" i="19"/>
  <c r="J370" i="19"/>
  <c r="K370" i="19"/>
  <c r="I371" i="19"/>
  <c r="I365" i="19" s="1"/>
  <c r="J371" i="19"/>
  <c r="J365" i="19" s="1"/>
  <c r="J372" i="19"/>
  <c r="K372" i="19"/>
  <c r="D373" i="19"/>
  <c r="I376" i="19"/>
  <c r="K376" i="19" s="1"/>
  <c r="J376" i="19"/>
  <c r="L378" i="19"/>
  <c r="M378" i="19"/>
  <c r="P378" i="19" s="1"/>
  <c r="N378" i="19"/>
  <c r="O381" i="19"/>
  <c r="P381" i="19"/>
  <c r="L382" i="19"/>
  <c r="O382" i="19" s="1"/>
  <c r="M382" i="19"/>
  <c r="N382" i="19"/>
  <c r="N380" i="19" s="1"/>
  <c r="O384" i="19"/>
  <c r="P384" i="19"/>
  <c r="L385" i="19"/>
  <c r="O385" i="19" s="1"/>
  <c r="M385" i="19"/>
  <c r="P385" i="19" s="1"/>
  <c r="N385" i="19"/>
  <c r="N383" i="19" s="1"/>
  <c r="K387" i="19"/>
  <c r="K388" i="19"/>
  <c r="A391" i="19"/>
  <c r="L22" i="18"/>
  <c r="M22" i="18"/>
  <c r="P22" i="18" s="1"/>
  <c r="N22" i="18"/>
  <c r="O22" i="18"/>
  <c r="L25" i="18"/>
  <c r="M25" i="18"/>
  <c r="N25" i="18"/>
  <c r="L45" i="18"/>
  <c r="O45" i="18" s="1"/>
  <c r="M45" i="18"/>
  <c r="N45" i="18"/>
  <c r="P45" i="18"/>
  <c r="O48" i="18"/>
  <c r="P48" i="18"/>
  <c r="L49" i="18"/>
  <c r="M49" i="18"/>
  <c r="M47" i="18" s="1"/>
  <c r="N49" i="18"/>
  <c r="N47" i="18" s="1"/>
  <c r="O51" i="18"/>
  <c r="P51" i="18"/>
  <c r="L52" i="18"/>
  <c r="M52" i="18"/>
  <c r="M50" i="18" s="1"/>
  <c r="P50" i="18" s="1"/>
  <c r="N52" i="18"/>
  <c r="L60" i="18"/>
  <c r="O60" i="18" s="1"/>
  <c r="M60" i="18"/>
  <c r="N60" i="18"/>
  <c r="O63" i="18"/>
  <c r="P63" i="18"/>
  <c r="L64" i="18"/>
  <c r="M64" i="18"/>
  <c r="N64" i="18"/>
  <c r="O66" i="18"/>
  <c r="P66" i="18"/>
  <c r="L67" i="18"/>
  <c r="L65" i="18" s="1"/>
  <c r="O65" i="18" s="1"/>
  <c r="M67" i="18"/>
  <c r="N67" i="18"/>
  <c r="N65" i="18" s="1"/>
  <c r="L73" i="18"/>
  <c r="O73" i="18" s="1"/>
  <c r="M73" i="18"/>
  <c r="N73" i="18"/>
  <c r="P73" i="18"/>
  <c r="O76" i="18"/>
  <c r="P76" i="18"/>
  <c r="L77" i="18"/>
  <c r="M77" i="18"/>
  <c r="M75" i="18" s="1"/>
  <c r="N77" i="18"/>
  <c r="N75" i="18" s="1"/>
  <c r="O79" i="18"/>
  <c r="P79" i="18"/>
  <c r="L80" i="18"/>
  <c r="M80" i="18"/>
  <c r="M78" i="18" s="1"/>
  <c r="P78" i="18" s="1"/>
  <c r="N80" i="18"/>
  <c r="N78" i="18" s="1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I88" i="18"/>
  <c r="K88" i="18" s="1"/>
  <c r="I89" i="18"/>
  <c r="K89" i="18" s="1"/>
  <c r="I90" i="18"/>
  <c r="K90" i="18" s="1"/>
  <c r="J92" i="18"/>
  <c r="J93" i="18"/>
  <c r="L95" i="18"/>
  <c r="O95" i="18" s="1"/>
  <c r="M95" i="18"/>
  <c r="P95" i="18" s="1"/>
  <c r="N95" i="18"/>
  <c r="O98" i="18"/>
  <c r="P98" i="18"/>
  <c r="L99" i="18"/>
  <c r="O99" i="18" s="1"/>
  <c r="M99" i="18"/>
  <c r="M97" i="18" s="1"/>
  <c r="P97" i="18" s="1"/>
  <c r="N99" i="18"/>
  <c r="N97" i="18" s="1"/>
  <c r="O101" i="18"/>
  <c r="P101" i="18"/>
  <c r="L102" i="18"/>
  <c r="O102" i="18" s="1"/>
  <c r="M102" i="18"/>
  <c r="P102" i="18" s="1"/>
  <c r="N102" i="18"/>
  <c r="N100" i="18" s="1"/>
  <c r="I108" i="18"/>
  <c r="I92" i="18" s="1"/>
  <c r="K92" i="18" s="1"/>
  <c r="I109" i="18"/>
  <c r="K109" i="18" s="1"/>
  <c r="I117" i="18"/>
  <c r="K117" i="18" s="1"/>
  <c r="L126" i="18"/>
  <c r="M126" i="18"/>
  <c r="P126" i="18" s="1"/>
  <c r="N126" i="18"/>
  <c r="O126" i="18"/>
  <c r="O129" i="18"/>
  <c r="P129" i="18"/>
  <c r="L130" i="18"/>
  <c r="L128" i="18" s="1"/>
  <c r="O128" i="18" s="1"/>
  <c r="M130" i="18"/>
  <c r="N130" i="18"/>
  <c r="N128" i="18" s="1"/>
  <c r="O132" i="18"/>
  <c r="P132" i="18"/>
  <c r="L133" i="18"/>
  <c r="L131" i="18" s="1"/>
  <c r="O131" i="18" s="1"/>
  <c r="M133" i="18"/>
  <c r="P133" i="18" s="1"/>
  <c r="N133" i="18"/>
  <c r="N131" i="18" s="1"/>
  <c r="J136" i="18"/>
  <c r="J137" i="18"/>
  <c r="J138" i="18"/>
  <c r="L140" i="18"/>
  <c r="O140" i="18" s="1"/>
  <c r="M140" i="18"/>
  <c r="P140" i="18" s="1"/>
  <c r="N140" i="18"/>
  <c r="O143" i="18"/>
  <c r="P143" i="18"/>
  <c r="L144" i="18"/>
  <c r="L142" i="18" s="1"/>
  <c r="O142" i="18" s="1"/>
  <c r="M144" i="18"/>
  <c r="M142" i="18" s="1"/>
  <c r="P142" i="18" s="1"/>
  <c r="N144" i="18"/>
  <c r="N142" i="18" s="1"/>
  <c r="O146" i="18"/>
  <c r="P146" i="18"/>
  <c r="L147" i="18"/>
  <c r="L145" i="18" s="1"/>
  <c r="O145" i="18" s="1"/>
  <c r="M147" i="18"/>
  <c r="M145" i="18" s="1"/>
  <c r="P145" i="18" s="1"/>
  <c r="N147" i="18"/>
  <c r="N145" i="18" s="1"/>
  <c r="I150" i="18"/>
  <c r="K150" i="18" s="1"/>
  <c r="I151" i="18"/>
  <c r="K151" i="18" s="1"/>
  <c r="I152" i="18"/>
  <c r="K152" i="18" s="1"/>
  <c r="I153" i="18"/>
  <c r="I138" i="18" s="1"/>
  <c r="K138" i="18" s="1"/>
  <c r="I154" i="18"/>
  <c r="J156" i="18"/>
  <c r="L158" i="18"/>
  <c r="M158" i="18"/>
  <c r="P158" i="18" s="1"/>
  <c r="N158" i="18"/>
  <c r="O158" i="18"/>
  <c r="O161" i="18"/>
  <c r="P161" i="18"/>
  <c r="L162" i="18"/>
  <c r="L160" i="18" s="1"/>
  <c r="O160" i="18" s="1"/>
  <c r="M162" i="18"/>
  <c r="M160" i="18" s="1"/>
  <c r="P160" i="18" s="1"/>
  <c r="N162" i="18"/>
  <c r="N160" i="18" s="1"/>
  <c r="O164" i="18"/>
  <c r="P164" i="18"/>
  <c r="L165" i="18"/>
  <c r="O165" i="18" s="1"/>
  <c r="M165" i="18"/>
  <c r="M163" i="18" s="1"/>
  <c r="P163" i="18" s="1"/>
  <c r="N165" i="18"/>
  <c r="N163" i="18" s="1"/>
  <c r="I167" i="18"/>
  <c r="K167" i="18" s="1"/>
  <c r="I168" i="18"/>
  <c r="K168" i="18" s="1"/>
  <c r="I169" i="18"/>
  <c r="I156" i="18" s="1"/>
  <c r="K156" i="18" s="1"/>
  <c r="J172" i="18"/>
  <c r="L174" i="18"/>
  <c r="M174" i="18"/>
  <c r="P174" i="18" s="1"/>
  <c r="N174" i="18"/>
  <c r="O174" i="18"/>
  <c r="O177" i="18"/>
  <c r="P177" i="18"/>
  <c r="L178" i="18"/>
  <c r="M178" i="18"/>
  <c r="M176" i="18" s="1"/>
  <c r="N178" i="18"/>
  <c r="N176" i="18" s="1"/>
  <c r="O180" i="18"/>
  <c r="P180" i="18"/>
  <c r="L181" i="18"/>
  <c r="M181" i="18"/>
  <c r="M179" i="18" s="1"/>
  <c r="P179" i="18" s="1"/>
  <c r="N181" i="18"/>
  <c r="N179" i="18" s="1"/>
  <c r="I183" i="18"/>
  <c r="K183" i="18" s="1"/>
  <c r="K184" i="18"/>
  <c r="L187" i="18"/>
  <c r="O187" i="18" s="1"/>
  <c r="M187" i="18"/>
  <c r="N187" i="18"/>
  <c r="P187" i="18"/>
  <c r="O190" i="18"/>
  <c r="P190" i="18"/>
  <c r="L191" i="18"/>
  <c r="M191" i="18"/>
  <c r="M189" i="18" s="1"/>
  <c r="N191" i="18"/>
  <c r="O193" i="18"/>
  <c r="P193" i="18"/>
  <c r="L194" i="18"/>
  <c r="L192" i="18" s="1"/>
  <c r="O192" i="18" s="1"/>
  <c r="M194" i="18"/>
  <c r="M192" i="18" s="1"/>
  <c r="P192" i="18" s="1"/>
  <c r="N194" i="18"/>
  <c r="N192" i="18" s="1"/>
  <c r="J195" i="18"/>
  <c r="L196" i="18"/>
  <c r="O196" i="18" s="1"/>
  <c r="P196" i="18"/>
  <c r="I198" i="18"/>
  <c r="K198" i="18" s="1"/>
  <c r="J199" i="18"/>
  <c r="J202" i="18"/>
  <c r="N203" i="18"/>
  <c r="P203" i="18"/>
  <c r="L204" i="18"/>
  <c r="L205" i="18"/>
  <c r="L206" i="18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L215" i="18"/>
  <c r="L216" i="18"/>
  <c r="L217" i="18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I221" i="18" s="1"/>
  <c r="I230" i="18"/>
  <c r="K230" i="18" s="1"/>
  <c r="N233" i="18"/>
  <c r="N234" i="18"/>
  <c r="N235" i="18"/>
  <c r="N236" i="18"/>
  <c r="J238" i="18"/>
  <c r="J240" i="18"/>
  <c r="J241" i="18"/>
  <c r="J242" i="18"/>
  <c r="J231" i="18" s="1"/>
  <c r="J185" i="18" s="1"/>
  <c r="N243" i="18"/>
  <c r="N232" i="18" s="1"/>
  <c r="P243" i="18"/>
  <c r="L244" i="18"/>
  <c r="L245" i="18"/>
  <c r="L246" i="18"/>
  <c r="L247" i="18"/>
  <c r="I249" i="18"/>
  <c r="K249" i="18" s="1"/>
  <c r="I251" i="18"/>
  <c r="K251" i="18" s="1"/>
  <c r="I252" i="18"/>
  <c r="K252" i="18" s="1"/>
  <c r="J253" i="18"/>
  <c r="N254" i="18"/>
  <c r="P254" i="18"/>
  <c r="L255" i="18"/>
  <c r="L256" i="18"/>
  <c r="L257" i="18"/>
  <c r="L258" i="18"/>
  <c r="I260" i="18"/>
  <c r="I253" i="18" s="1"/>
  <c r="K253" i="18" s="1"/>
  <c r="I262" i="18"/>
  <c r="K262" i="18" s="1"/>
  <c r="I263" i="18"/>
  <c r="K263" i="18" s="1"/>
  <c r="I265" i="18"/>
  <c r="K265" i="18" s="1"/>
  <c r="J265" i="18"/>
  <c r="L267" i="18"/>
  <c r="O267" i="18" s="1"/>
  <c r="M267" i="18"/>
  <c r="N267" i="18"/>
  <c r="P267" i="18"/>
  <c r="O270" i="18"/>
  <c r="P270" i="18"/>
  <c r="L271" i="18"/>
  <c r="L269" i="18" s="1"/>
  <c r="O269" i="18" s="1"/>
  <c r="M271" i="18"/>
  <c r="N271" i="18"/>
  <c r="N269" i="18" s="1"/>
  <c r="O273" i="18"/>
  <c r="P273" i="18"/>
  <c r="L274" i="18"/>
  <c r="L272" i="18" s="1"/>
  <c r="O272" i="18" s="1"/>
  <c r="M274" i="18"/>
  <c r="N274" i="18"/>
  <c r="N272" i="18" s="1"/>
  <c r="J281" i="18"/>
  <c r="L283" i="18"/>
  <c r="M283" i="18"/>
  <c r="P283" i="18" s="1"/>
  <c r="N283" i="18"/>
  <c r="O286" i="18"/>
  <c r="P286" i="18"/>
  <c r="L287" i="18"/>
  <c r="L285" i="18" s="1"/>
  <c r="O285" i="18" s="1"/>
  <c r="M287" i="18"/>
  <c r="M285" i="18" s="1"/>
  <c r="P285" i="18" s="1"/>
  <c r="N287" i="18"/>
  <c r="O289" i="18"/>
  <c r="P289" i="18"/>
  <c r="L290" i="18"/>
  <c r="L288" i="18" s="1"/>
  <c r="O288" i="18" s="1"/>
  <c r="M290" i="18"/>
  <c r="M288" i="18" s="1"/>
  <c r="P288" i="18" s="1"/>
  <c r="N290" i="18"/>
  <c r="N288" i="18" s="1"/>
  <c r="I292" i="18"/>
  <c r="I281" i="18" s="1"/>
  <c r="K281" i="18" s="1"/>
  <c r="I293" i="18"/>
  <c r="I280" i="18" s="1"/>
  <c r="K280" i="18" s="1"/>
  <c r="J293" i="18"/>
  <c r="J280" i="18" s="1"/>
  <c r="I295" i="18"/>
  <c r="K295" i="18" s="1"/>
  <c r="I296" i="18"/>
  <c r="K296" i="18" s="1"/>
  <c r="J302" i="18"/>
  <c r="L304" i="18"/>
  <c r="O304" i="18" s="1"/>
  <c r="M304" i="18"/>
  <c r="N304" i="18"/>
  <c r="P304" i="18"/>
  <c r="O307" i="18"/>
  <c r="P307" i="18"/>
  <c r="L308" i="18"/>
  <c r="L306" i="18" s="1"/>
  <c r="O306" i="18" s="1"/>
  <c r="M308" i="18"/>
  <c r="M306" i="18" s="1"/>
  <c r="P306" i="18" s="1"/>
  <c r="N308" i="18"/>
  <c r="N306" i="18" s="1"/>
  <c r="O310" i="18"/>
  <c r="P310" i="18"/>
  <c r="L311" i="18"/>
  <c r="O311" i="18" s="1"/>
  <c r="M311" i="18"/>
  <c r="N311" i="18"/>
  <c r="N309" i="18" s="1"/>
  <c r="I314" i="18"/>
  <c r="K314" i="18" s="1"/>
  <c r="I315" i="18"/>
  <c r="K315" i="18" s="1"/>
  <c r="I316" i="18"/>
  <c r="K316" i="18" s="1"/>
  <c r="I317" i="18"/>
  <c r="K317" i="18" s="1"/>
  <c r="J319" i="18"/>
  <c r="L321" i="18"/>
  <c r="M321" i="18"/>
  <c r="P321" i="18" s="1"/>
  <c r="N321" i="18"/>
  <c r="O324" i="18"/>
  <c r="P324" i="18"/>
  <c r="L325" i="18"/>
  <c r="M325" i="18"/>
  <c r="M323" i="18" s="1"/>
  <c r="N325" i="18"/>
  <c r="O327" i="18"/>
  <c r="P327" i="18"/>
  <c r="L328" i="18"/>
  <c r="L326" i="18" s="1"/>
  <c r="O326" i="18" s="1"/>
  <c r="M328" i="18"/>
  <c r="M326" i="18" s="1"/>
  <c r="P326" i="18" s="1"/>
  <c r="N328" i="18"/>
  <c r="N326" i="18" s="1"/>
  <c r="I330" i="18"/>
  <c r="I319" i="18" s="1"/>
  <c r="K319" i="18" s="1"/>
  <c r="L334" i="18"/>
  <c r="O334" i="18" s="1"/>
  <c r="M334" i="18"/>
  <c r="N334" i="18"/>
  <c r="O337" i="18"/>
  <c r="P337" i="18"/>
  <c r="L338" i="18"/>
  <c r="L336" i="18" s="1"/>
  <c r="M338" i="18"/>
  <c r="N338" i="18"/>
  <c r="O340" i="18"/>
  <c r="P340" i="18"/>
  <c r="L341" i="18"/>
  <c r="L339" i="18" s="1"/>
  <c r="O339" i="18" s="1"/>
  <c r="M341" i="18"/>
  <c r="P341" i="18" s="1"/>
  <c r="N341" i="18"/>
  <c r="N339" i="18" s="1"/>
  <c r="I344" i="18"/>
  <c r="J344" i="18"/>
  <c r="I346" i="18"/>
  <c r="J346" i="18"/>
  <c r="J347" i="18"/>
  <c r="J348" i="18"/>
  <c r="J349" i="18"/>
  <c r="D350" i="18"/>
  <c r="J352" i="18"/>
  <c r="J353" i="18"/>
  <c r="D354" i="18"/>
  <c r="L357" i="18"/>
  <c r="O357" i="18" s="1"/>
  <c r="M357" i="18"/>
  <c r="N357" i="18"/>
  <c r="O360" i="18"/>
  <c r="P360" i="18"/>
  <c r="L361" i="18"/>
  <c r="L359" i="18" s="1"/>
  <c r="M361" i="18"/>
  <c r="N361" i="18"/>
  <c r="O363" i="18"/>
  <c r="P363" i="18"/>
  <c r="L364" i="18"/>
  <c r="L362" i="18" s="1"/>
  <c r="O362" i="18" s="1"/>
  <c r="M364" i="18"/>
  <c r="P364" i="18" s="1"/>
  <c r="N364" i="18"/>
  <c r="N362" i="18" s="1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I376" i="18"/>
  <c r="K376" i="18" s="1"/>
  <c r="J376" i="18"/>
  <c r="L378" i="18"/>
  <c r="M378" i="18"/>
  <c r="P378" i="18" s="1"/>
  <c r="N378" i="18"/>
  <c r="O381" i="18"/>
  <c r="P381" i="18"/>
  <c r="L382" i="18"/>
  <c r="O382" i="18" s="1"/>
  <c r="M382" i="18"/>
  <c r="N382" i="18"/>
  <c r="N380" i="18" s="1"/>
  <c r="O384" i="18"/>
  <c r="P384" i="18"/>
  <c r="L385" i="18"/>
  <c r="O385" i="18" s="1"/>
  <c r="M385" i="18"/>
  <c r="P385" i="18" s="1"/>
  <c r="N385" i="18"/>
  <c r="N383" i="18" s="1"/>
  <c r="K387" i="18"/>
  <c r="K388" i="18"/>
  <c r="A391" i="18"/>
  <c r="L22" i="17"/>
  <c r="M22" i="17"/>
  <c r="N22" i="17"/>
  <c r="O22" i="17"/>
  <c r="L25" i="17"/>
  <c r="O25" i="17" s="1"/>
  <c r="M25" i="17"/>
  <c r="P25" i="17" s="1"/>
  <c r="N25" i="17"/>
  <c r="L45" i="17"/>
  <c r="O45" i="17" s="1"/>
  <c r="M45" i="17"/>
  <c r="N45" i="17"/>
  <c r="P45" i="17"/>
  <c r="O48" i="17"/>
  <c r="P48" i="17"/>
  <c r="L49" i="17"/>
  <c r="L47" i="17" s="1"/>
  <c r="M49" i="17"/>
  <c r="N49" i="17"/>
  <c r="O51" i="17"/>
  <c r="P51" i="17"/>
  <c r="L52" i="17"/>
  <c r="L50" i="17" s="1"/>
  <c r="O50" i="17" s="1"/>
  <c r="M52" i="17"/>
  <c r="N52" i="17"/>
  <c r="N50" i="17" s="1"/>
  <c r="L60" i="17"/>
  <c r="O60" i="17" s="1"/>
  <c r="M60" i="17"/>
  <c r="N60" i="17"/>
  <c r="O63" i="17"/>
  <c r="P63" i="17"/>
  <c r="L64" i="17"/>
  <c r="L62" i="17" s="1"/>
  <c r="M64" i="17"/>
  <c r="M62" i="17" s="1"/>
  <c r="N64" i="17"/>
  <c r="N62" i="17" s="1"/>
  <c r="O66" i="17"/>
  <c r="P66" i="17"/>
  <c r="L67" i="17"/>
  <c r="O67" i="17" s="1"/>
  <c r="M67" i="17"/>
  <c r="M65" i="17" s="1"/>
  <c r="P65" i="17" s="1"/>
  <c r="N67" i="17"/>
  <c r="N65" i="17" s="1"/>
  <c r="L73" i="17"/>
  <c r="O73" i="17" s="1"/>
  <c r="M73" i="17"/>
  <c r="P73" i="17" s="1"/>
  <c r="N73" i="17"/>
  <c r="O76" i="17"/>
  <c r="P76" i="17"/>
  <c r="L77" i="17"/>
  <c r="L75" i="17" s="1"/>
  <c r="M77" i="17"/>
  <c r="N77" i="17"/>
  <c r="O79" i="17"/>
  <c r="P79" i="17"/>
  <c r="L80" i="17"/>
  <c r="L78" i="17" s="1"/>
  <c r="O78" i="17" s="1"/>
  <c r="M80" i="17"/>
  <c r="N80" i="17"/>
  <c r="N78" i="17" s="1"/>
  <c r="J82" i="17"/>
  <c r="J70" i="17" s="1"/>
  <c r="J83" i="17"/>
  <c r="J71" i="17" s="1"/>
  <c r="I84" i="17"/>
  <c r="K84" i="17" s="1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O95" i="17"/>
  <c r="O98" i="17"/>
  <c r="P98" i="17"/>
  <c r="L99" i="17"/>
  <c r="L97" i="17" s="1"/>
  <c r="O97" i="17" s="1"/>
  <c r="M99" i="17"/>
  <c r="P99" i="17" s="1"/>
  <c r="N99" i="17"/>
  <c r="N97" i="17" s="1"/>
  <c r="O101" i="17"/>
  <c r="P101" i="17"/>
  <c r="L102" i="17"/>
  <c r="L100" i="17" s="1"/>
  <c r="O100" i="17" s="1"/>
  <c r="M102" i="17"/>
  <c r="M100" i="17" s="1"/>
  <c r="P100" i="17" s="1"/>
  <c r="N102" i="17"/>
  <c r="N100" i="17" s="1"/>
  <c r="I108" i="17"/>
  <c r="I92" i="17" s="1"/>
  <c r="K92" i="17" s="1"/>
  <c r="I109" i="17"/>
  <c r="I93" i="17" s="1"/>
  <c r="K93" i="17" s="1"/>
  <c r="I117" i="17"/>
  <c r="K117" i="17" s="1"/>
  <c r="L126" i="17"/>
  <c r="M126" i="17"/>
  <c r="P126" i="17" s="1"/>
  <c r="N126" i="17"/>
  <c r="O126" i="17"/>
  <c r="O129" i="17"/>
  <c r="P129" i="17"/>
  <c r="L130" i="17"/>
  <c r="L128" i="17" s="1"/>
  <c r="O128" i="17" s="1"/>
  <c r="M130" i="17"/>
  <c r="M128" i="17" s="1"/>
  <c r="P128" i="17" s="1"/>
  <c r="N130" i="17"/>
  <c r="N128" i="17" s="1"/>
  <c r="O132" i="17"/>
  <c r="P132" i="17"/>
  <c r="L133" i="17"/>
  <c r="L131" i="17" s="1"/>
  <c r="O131" i="17" s="1"/>
  <c r="M133" i="17"/>
  <c r="M131" i="17" s="1"/>
  <c r="P131" i="17" s="1"/>
  <c r="N133" i="17"/>
  <c r="N131" i="17" s="1"/>
  <c r="J136" i="17"/>
  <c r="J137" i="17"/>
  <c r="J138" i="17"/>
  <c r="L140" i="17"/>
  <c r="M140" i="17"/>
  <c r="N140" i="17"/>
  <c r="P140" i="17"/>
  <c r="O143" i="17"/>
  <c r="P143" i="17"/>
  <c r="L144" i="17"/>
  <c r="L142" i="17" s="1"/>
  <c r="O142" i="17" s="1"/>
  <c r="M144" i="17"/>
  <c r="M142" i="17" s="1"/>
  <c r="P142" i="17" s="1"/>
  <c r="N144" i="17"/>
  <c r="N142" i="17" s="1"/>
  <c r="O146" i="17"/>
  <c r="P146" i="17"/>
  <c r="L147" i="17"/>
  <c r="L145" i="17" s="1"/>
  <c r="O145" i="17" s="1"/>
  <c r="M147" i="17"/>
  <c r="M145" i="17" s="1"/>
  <c r="P145" i="17" s="1"/>
  <c r="N147" i="17"/>
  <c r="N145" i="17" s="1"/>
  <c r="I150" i="17"/>
  <c r="K150" i="17" s="1"/>
  <c r="I151" i="17"/>
  <c r="K151" i="17" s="1"/>
  <c r="I152" i="17"/>
  <c r="I137" i="17" s="1"/>
  <c r="K137" i="17" s="1"/>
  <c r="I153" i="17"/>
  <c r="I138" i="17" s="1"/>
  <c r="K138" i="17" s="1"/>
  <c r="I154" i="17"/>
  <c r="K154" i="17" s="1"/>
  <c r="J156" i="17"/>
  <c r="L158" i="17"/>
  <c r="O158" i="17" s="1"/>
  <c r="M158" i="17"/>
  <c r="N158" i="17"/>
  <c r="P158" i="17"/>
  <c r="O161" i="17"/>
  <c r="P161" i="17"/>
  <c r="L162" i="17"/>
  <c r="M162" i="17"/>
  <c r="P162" i="17" s="1"/>
  <c r="N162" i="17"/>
  <c r="N160" i="17" s="1"/>
  <c r="O164" i="17"/>
  <c r="P164" i="17"/>
  <c r="L165" i="17"/>
  <c r="O165" i="17" s="1"/>
  <c r="M165" i="17"/>
  <c r="P165" i="17" s="1"/>
  <c r="N165" i="17"/>
  <c r="N163" i="17" s="1"/>
  <c r="I167" i="17"/>
  <c r="I169" i="17" s="1"/>
  <c r="K169" i="17" s="1"/>
  <c r="J172" i="17"/>
  <c r="L174" i="17"/>
  <c r="O174" i="17" s="1"/>
  <c r="M174" i="17"/>
  <c r="N174" i="17"/>
  <c r="P174" i="17"/>
  <c r="O177" i="17"/>
  <c r="P177" i="17"/>
  <c r="L178" i="17"/>
  <c r="M178" i="17"/>
  <c r="M176" i="17" s="1"/>
  <c r="N178" i="17"/>
  <c r="N176" i="17" s="1"/>
  <c r="O180" i="17"/>
  <c r="P180" i="17"/>
  <c r="L181" i="17"/>
  <c r="O181" i="17" s="1"/>
  <c r="M181" i="17"/>
  <c r="P181" i="17" s="1"/>
  <c r="N181" i="17"/>
  <c r="N179" i="17" s="1"/>
  <c r="I183" i="17"/>
  <c r="I172" i="17" s="1"/>
  <c r="K172" i="17" s="1"/>
  <c r="K184" i="17"/>
  <c r="L187" i="17"/>
  <c r="M187" i="17"/>
  <c r="P187" i="17" s="1"/>
  <c r="N187" i="17"/>
  <c r="O187" i="17"/>
  <c r="O190" i="17"/>
  <c r="P190" i="17"/>
  <c r="L191" i="17"/>
  <c r="L189" i="17" s="1"/>
  <c r="M191" i="17"/>
  <c r="M189" i="17" s="1"/>
  <c r="N191" i="17"/>
  <c r="N189" i="17" s="1"/>
  <c r="O193" i="17"/>
  <c r="P193" i="17"/>
  <c r="L194" i="17"/>
  <c r="L192" i="17" s="1"/>
  <c r="O192" i="17" s="1"/>
  <c r="M194" i="17"/>
  <c r="M192" i="17" s="1"/>
  <c r="P192" i="17" s="1"/>
  <c r="N194" i="17"/>
  <c r="N192" i="17" s="1"/>
  <c r="J195" i="17"/>
  <c r="L196" i="17"/>
  <c r="O196" i="17" s="1"/>
  <c r="P196" i="17"/>
  <c r="I198" i="17"/>
  <c r="I195" i="17" s="1"/>
  <c r="J199" i="17"/>
  <c r="J202" i="17"/>
  <c r="N203" i="17"/>
  <c r="P203" i="17"/>
  <c r="L204" i="17"/>
  <c r="L205" i="17"/>
  <c r="L206" i="17"/>
  <c r="L207" i="17"/>
  <c r="I209" i="17"/>
  <c r="K209" i="17" s="1"/>
  <c r="I211" i="17"/>
  <c r="K211" i="17" s="1"/>
  <c r="I212" i="17"/>
  <c r="K212" i="17" s="1"/>
  <c r="J213" i="17"/>
  <c r="N214" i="17"/>
  <c r="P214" i="17"/>
  <c r="L215" i="17"/>
  <c r="L216" i="17"/>
  <c r="L217" i="17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N243" i="17"/>
  <c r="P243" i="17"/>
  <c r="L244" i="17"/>
  <c r="L245" i="17"/>
  <c r="L246" i="17"/>
  <c r="L247" i="17"/>
  <c r="I249" i="17"/>
  <c r="K249" i="17" s="1"/>
  <c r="K251" i="17"/>
  <c r="K252" i="17"/>
  <c r="J253" i="17"/>
  <c r="J231" i="17" s="1"/>
  <c r="J185" i="17" s="1"/>
  <c r="N254" i="17"/>
  <c r="P254" i="17"/>
  <c r="L255" i="17"/>
  <c r="L256" i="17"/>
  <c r="L257" i="17"/>
  <c r="L258" i="17"/>
  <c r="I260" i="17"/>
  <c r="K260" i="17" s="1"/>
  <c r="K262" i="17"/>
  <c r="K263" i="17"/>
  <c r="I265" i="17"/>
  <c r="K265" i="17" s="1"/>
  <c r="J265" i="17"/>
  <c r="L267" i="17"/>
  <c r="M267" i="17"/>
  <c r="N267" i="17"/>
  <c r="O267" i="17"/>
  <c r="O270" i="17"/>
  <c r="P270" i="17"/>
  <c r="L271" i="17"/>
  <c r="M271" i="17"/>
  <c r="M269" i="17" s="1"/>
  <c r="P269" i="17" s="1"/>
  <c r="N271" i="17"/>
  <c r="N269" i="17" s="1"/>
  <c r="O273" i="17"/>
  <c r="P273" i="17"/>
  <c r="L274" i="17"/>
  <c r="L272" i="17" s="1"/>
  <c r="O272" i="17" s="1"/>
  <c r="M274" i="17"/>
  <c r="M272" i="17" s="1"/>
  <c r="P272" i="17" s="1"/>
  <c r="N274" i="17"/>
  <c r="N272" i="17" s="1"/>
  <c r="J281" i="17"/>
  <c r="L283" i="17"/>
  <c r="O283" i="17" s="1"/>
  <c r="M283" i="17"/>
  <c r="N283" i="17"/>
  <c r="P283" i="17"/>
  <c r="O286" i="17"/>
  <c r="P286" i="17"/>
  <c r="L287" i="17"/>
  <c r="L285" i="17" s="1"/>
  <c r="O285" i="17" s="1"/>
  <c r="M287" i="17"/>
  <c r="P287" i="17" s="1"/>
  <c r="N287" i="17"/>
  <c r="N285" i="17" s="1"/>
  <c r="O289" i="17"/>
  <c r="P289" i="17"/>
  <c r="L290" i="17"/>
  <c r="L288" i="17" s="1"/>
  <c r="O288" i="17" s="1"/>
  <c r="M290" i="17"/>
  <c r="P290" i="17" s="1"/>
  <c r="N290" i="17"/>
  <c r="N288" i="17" s="1"/>
  <c r="I292" i="17"/>
  <c r="K292" i="17" s="1"/>
  <c r="I293" i="17"/>
  <c r="K293" i="17" s="1"/>
  <c r="J293" i="17"/>
  <c r="J280" i="17" s="1"/>
  <c r="I295" i="17"/>
  <c r="K295" i="17" s="1"/>
  <c r="I296" i="17"/>
  <c r="K296" i="17" s="1"/>
  <c r="J302" i="17"/>
  <c r="L304" i="17"/>
  <c r="M304" i="17"/>
  <c r="P304" i="17" s="1"/>
  <c r="N304" i="17"/>
  <c r="O304" i="17"/>
  <c r="O307" i="17"/>
  <c r="P307" i="17"/>
  <c r="L308" i="17"/>
  <c r="L306" i="17" s="1"/>
  <c r="M308" i="17"/>
  <c r="M306" i="17" s="1"/>
  <c r="N308" i="17"/>
  <c r="N306" i="17" s="1"/>
  <c r="O310" i="17"/>
  <c r="P310" i="17"/>
  <c r="L311" i="17"/>
  <c r="M311" i="17"/>
  <c r="M309" i="17" s="1"/>
  <c r="P309" i="17" s="1"/>
  <c r="N311" i="17"/>
  <c r="N309" i="17" s="1"/>
  <c r="I314" i="17"/>
  <c r="I302" i="17" s="1"/>
  <c r="K302" i="17" s="1"/>
  <c r="I315" i="17"/>
  <c r="K315" i="17" s="1"/>
  <c r="I316" i="17"/>
  <c r="K316" i="17" s="1"/>
  <c r="I317" i="17"/>
  <c r="K317" i="17" s="1"/>
  <c r="J319" i="17"/>
  <c r="L321" i="17"/>
  <c r="O321" i="17" s="1"/>
  <c r="M321" i="17"/>
  <c r="P321" i="17" s="1"/>
  <c r="N321" i="17"/>
  <c r="O324" i="17"/>
  <c r="P324" i="17"/>
  <c r="L325" i="17"/>
  <c r="L323" i="17" s="1"/>
  <c r="O323" i="17" s="1"/>
  <c r="M325" i="17"/>
  <c r="P325" i="17" s="1"/>
  <c r="N325" i="17"/>
  <c r="O327" i="17"/>
  <c r="P327" i="17"/>
  <c r="L328" i="17"/>
  <c r="L326" i="17" s="1"/>
  <c r="O326" i="17" s="1"/>
  <c r="M328" i="17"/>
  <c r="P328" i="17" s="1"/>
  <c r="N328" i="17"/>
  <c r="N326" i="17" s="1"/>
  <c r="I330" i="17"/>
  <c r="I319" i="17" s="1"/>
  <c r="K319" i="17" s="1"/>
  <c r="L334" i="17"/>
  <c r="M334" i="17"/>
  <c r="N334" i="17"/>
  <c r="O337" i="17"/>
  <c r="P337" i="17"/>
  <c r="L338" i="17"/>
  <c r="M338" i="17"/>
  <c r="M336" i="17" s="1"/>
  <c r="N338" i="17"/>
  <c r="N336" i="17" s="1"/>
  <c r="O340" i="17"/>
  <c r="P340" i="17"/>
  <c r="L341" i="17"/>
  <c r="O341" i="17" s="1"/>
  <c r="M341" i="17"/>
  <c r="M339" i="17" s="1"/>
  <c r="P339" i="17" s="1"/>
  <c r="N341" i="17"/>
  <c r="N339" i="17" s="1"/>
  <c r="I344" i="17"/>
  <c r="I332" i="17" s="1"/>
  <c r="J344" i="17"/>
  <c r="I346" i="17"/>
  <c r="J346" i="17"/>
  <c r="J347" i="17"/>
  <c r="J348" i="17"/>
  <c r="J349" i="17"/>
  <c r="D350" i="17"/>
  <c r="J352" i="17"/>
  <c r="J353" i="17"/>
  <c r="D354" i="17"/>
  <c r="L357" i="17"/>
  <c r="M357" i="17"/>
  <c r="P357" i="17" s="1"/>
  <c r="N357" i="17"/>
  <c r="O357" i="17"/>
  <c r="O360" i="17"/>
  <c r="P360" i="17"/>
  <c r="L361" i="17"/>
  <c r="M361" i="17"/>
  <c r="M359" i="17" s="1"/>
  <c r="N361" i="17"/>
  <c r="O363" i="17"/>
  <c r="P363" i="17"/>
  <c r="L364" i="17"/>
  <c r="O364" i="17" s="1"/>
  <c r="M364" i="17"/>
  <c r="M362" i="17" s="1"/>
  <c r="P362" i="17" s="1"/>
  <c r="N364" i="17"/>
  <c r="N362" i="17" s="1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I376" i="17"/>
  <c r="K376" i="17" s="1"/>
  <c r="J376" i="17"/>
  <c r="L378" i="17"/>
  <c r="M378" i="17"/>
  <c r="P378" i="17" s="1"/>
  <c r="N378" i="17"/>
  <c r="O378" i="17"/>
  <c r="O381" i="17"/>
  <c r="P381" i="17"/>
  <c r="L382" i="17"/>
  <c r="L380" i="17" s="1"/>
  <c r="O380" i="17" s="1"/>
  <c r="M382" i="17"/>
  <c r="N382" i="17"/>
  <c r="O384" i="17"/>
  <c r="P384" i="17"/>
  <c r="L385" i="17"/>
  <c r="L383" i="17" s="1"/>
  <c r="O383" i="17" s="1"/>
  <c r="M385" i="17"/>
  <c r="M383" i="17" s="1"/>
  <c r="P383" i="17" s="1"/>
  <c r="N385" i="17"/>
  <c r="N383" i="17" s="1"/>
  <c r="K387" i="17"/>
  <c r="K388" i="17"/>
  <c r="A391" i="17"/>
  <c r="L22" i="16"/>
  <c r="O22" i="16" s="1"/>
  <c r="M22" i="16"/>
  <c r="N22" i="16"/>
  <c r="N19" i="16" s="1"/>
  <c r="P22" i="16"/>
  <c r="L25" i="16"/>
  <c r="L19" i="16" s="1"/>
  <c r="M25" i="16"/>
  <c r="M19" i="16" s="1"/>
  <c r="N25" i="16"/>
  <c r="L45" i="16"/>
  <c r="M45" i="16"/>
  <c r="N45" i="16"/>
  <c r="O45" i="16"/>
  <c r="O48" i="16"/>
  <c r="P48" i="16"/>
  <c r="L49" i="16"/>
  <c r="M49" i="16"/>
  <c r="N49" i="16"/>
  <c r="O51" i="16"/>
  <c r="P51" i="16"/>
  <c r="L52" i="16"/>
  <c r="O52" i="16" s="1"/>
  <c r="M52" i="16"/>
  <c r="M50" i="16" s="1"/>
  <c r="P50" i="16" s="1"/>
  <c r="N52" i="16"/>
  <c r="N50" i="16" s="1"/>
  <c r="L60" i="16"/>
  <c r="O60" i="16" s="1"/>
  <c r="M60" i="16"/>
  <c r="P60" i="16" s="1"/>
  <c r="N60" i="16"/>
  <c r="O63" i="16"/>
  <c r="P63" i="16"/>
  <c r="L64" i="16"/>
  <c r="L62" i="16" s="1"/>
  <c r="M64" i="16"/>
  <c r="N64" i="16"/>
  <c r="N62" i="16" s="1"/>
  <c r="O66" i="16"/>
  <c r="P66" i="16"/>
  <c r="L67" i="16"/>
  <c r="L65" i="16" s="1"/>
  <c r="O65" i="16" s="1"/>
  <c r="M67" i="16"/>
  <c r="N67" i="16"/>
  <c r="L73" i="16"/>
  <c r="O73" i="16" s="1"/>
  <c r="M73" i="16"/>
  <c r="N73" i="16"/>
  <c r="P73" i="16"/>
  <c r="O76" i="16"/>
  <c r="P76" i="16"/>
  <c r="L77" i="16"/>
  <c r="O77" i="16" s="1"/>
  <c r="M77" i="16"/>
  <c r="N77" i="16"/>
  <c r="N75" i="16" s="1"/>
  <c r="O79" i="16"/>
  <c r="P79" i="16"/>
  <c r="L80" i="16"/>
  <c r="O80" i="16" s="1"/>
  <c r="M80" i="16"/>
  <c r="M78" i="16" s="1"/>
  <c r="P78" i="16" s="1"/>
  <c r="N80" i="16"/>
  <c r="N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O98" i="16"/>
  <c r="P98" i="16"/>
  <c r="L99" i="16"/>
  <c r="L97" i="16" s="1"/>
  <c r="O97" i="16" s="1"/>
  <c r="M99" i="16"/>
  <c r="P99" i="16" s="1"/>
  <c r="N99" i="16"/>
  <c r="O101" i="16"/>
  <c r="P101" i="16"/>
  <c r="L102" i="16"/>
  <c r="O102" i="16" s="1"/>
  <c r="M102" i="16"/>
  <c r="P102" i="16" s="1"/>
  <c r="N102" i="16"/>
  <c r="N100" i="16" s="1"/>
  <c r="I108" i="16"/>
  <c r="I92" i="16" s="1"/>
  <c r="K92" i="16" s="1"/>
  <c r="I109" i="16"/>
  <c r="K109" i="16" s="1"/>
  <c r="I117" i="16"/>
  <c r="K117" i="16" s="1"/>
  <c r="L126" i="16"/>
  <c r="O126" i="16" s="1"/>
  <c r="M126" i="16"/>
  <c r="P126" i="16" s="1"/>
  <c r="N126" i="16"/>
  <c r="O129" i="16"/>
  <c r="P129" i="16"/>
  <c r="L130" i="16"/>
  <c r="L128" i="16" s="1"/>
  <c r="O128" i="16" s="1"/>
  <c r="M130" i="16"/>
  <c r="M128" i="16" s="1"/>
  <c r="P128" i="16" s="1"/>
  <c r="N130" i="16"/>
  <c r="N128" i="16" s="1"/>
  <c r="O132" i="16"/>
  <c r="P132" i="16"/>
  <c r="L133" i="16"/>
  <c r="L131" i="16" s="1"/>
  <c r="O131" i="16" s="1"/>
  <c r="M133" i="16"/>
  <c r="M131" i="16" s="1"/>
  <c r="P131" i="16" s="1"/>
  <c r="N133" i="16"/>
  <c r="N131" i="16" s="1"/>
  <c r="J136" i="16"/>
  <c r="J137" i="16"/>
  <c r="J138" i="16"/>
  <c r="L140" i="16"/>
  <c r="O140" i="16" s="1"/>
  <c r="M140" i="16"/>
  <c r="P140" i="16" s="1"/>
  <c r="N140" i="16"/>
  <c r="O143" i="16"/>
  <c r="P143" i="16"/>
  <c r="L144" i="16"/>
  <c r="L142" i="16" s="1"/>
  <c r="M144" i="16"/>
  <c r="M142" i="16" s="1"/>
  <c r="N144" i="16"/>
  <c r="N142" i="16" s="1"/>
  <c r="O146" i="16"/>
  <c r="P146" i="16"/>
  <c r="L147" i="16"/>
  <c r="L145" i="16" s="1"/>
  <c r="O145" i="16" s="1"/>
  <c r="M147" i="16"/>
  <c r="M145" i="16" s="1"/>
  <c r="P145" i="16" s="1"/>
  <c r="N147" i="16"/>
  <c r="N145" i="16" s="1"/>
  <c r="I150" i="16"/>
  <c r="K150" i="16" s="1"/>
  <c r="I151" i="16"/>
  <c r="K151" i="16" s="1"/>
  <c r="I152" i="16"/>
  <c r="K152" i="16" s="1"/>
  <c r="I153" i="16"/>
  <c r="I138" i="16" s="1"/>
  <c r="K138" i="16" s="1"/>
  <c r="I154" i="16"/>
  <c r="I136" i="16" s="1"/>
  <c r="K136" i="16" s="1"/>
  <c r="J156" i="16"/>
  <c r="L158" i="16"/>
  <c r="M158" i="16"/>
  <c r="N158" i="16"/>
  <c r="O158" i="16"/>
  <c r="P158" i="16"/>
  <c r="O161" i="16"/>
  <c r="P161" i="16"/>
  <c r="L162" i="16"/>
  <c r="M162" i="16"/>
  <c r="M160" i="16" s="1"/>
  <c r="P160" i="16" s="1"/>
  <c r="N162" i="16"/>
  <c r="N160" i="16" s="1"/>
  <c r="O164" i="16"/>
  <c r="P164" i="16"/>
  <c r="L165" i="16"/>
  <c r="O165" i="16" s="1"/>
  <c r="M165" i="16"/>
  <c r="M163" i="16" s="1"/>
  <c r="P163" i="16" s="1"/>
  <c r="N165" i="16"/>
  <c r="N163" i="16" s="1"/>
  <c r="I167" i="16"/>
  <c r="K167" i="16" s="1"/>
  <c r="J172" i="16"/>
  <c r="L174" i="16"/>
  <c r="O174" i="16" s="1"/>
  <c r="M174" i="16"/>
  <c r="P174" i="16" s="1"/>
  <c r="N174" i="16"/>
  <c r="O177" i="16"/>
  <c r="P177" i="16"/>
  <c r="L178" i="16"/>
  <c r="M178" i="16"/>
  <c r="M176" i="16" s="1"/>
  <c r="N178" i="16"/>
  <c r="N176" i="16" s="1"/>
  <c r="O180" i="16"/>
  <c r="P180" i="16"/>
  <c r="L181" i="16"/>
  <c r="O181" i="16" s="1"/>
  <c r="M181" i="16"/>
  <c r="M179" i="16" s="1"/>
  <c r="P179" i="16" s="1"/>
  <c r="N181" i="16"/>
  <c r="N179" i="16" s="1"/>
  <c r="I183" i="16"/>
  <c r="I172" i="16" s="1"/>
  <c r="K184" i="16"/>
  <c r="L187" i="16"/>
  <c r="O187" i="16" s="1"/>
  <c r="M187" i="16"/>
  <c r="P187" i="16" s="1"/>
  <c r="N187" i="16"/>
  <c r="O190" i="16"/>
  <c r="P190" i="16"/>
  <c r="L191" i="16"/>
  <c r="L189" i="16" s="1"/>
  <c r="M191" i="16"/>
  <c r="N191" i="16"/>
  <c r="N189" i="16" s="1"/>
  <c r="O193" i="16"/>
  <c r="P193" i="16"/>
  <c r="L194" i="16"/>
  <c r="L192" i="16" s="1"/>
  <c r="O192" i="16" s="1"/>
  <c r="M194" i="16"/>
  <c r="N194" i="16"/>
  <c r="N192" i="16" s="1"/>
  <c r="J195" i="16"/>
  <c r="L196" i="16"/>
  <c r="O196" i="16" s="1"/>
  <c r="P196" i="16"/>
  <c r="I198" i="16"/>
  <c r="K198" i="16" s="1"/>
  <c r="J199" i="16"/>
  <c r="J202" i="16"/>
  <c r="N203" i="16"/>
  <c r="P203" i="16"/>
  <c r="L204" i="16"/>
  <c r="L205" i="16"/>
  <c r="L206" i="16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L215" i="16"/>
  <c r="L216" i="16"/>
  <c r="L217" i="16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K229" i="16" s="1"/>
  <c r="I230" i="16"/>
  <c r="K230" i="16" s="1"/>
  <c r="N233" i="16"/>
  <c r="N234" i="16"/>
  <c r="N235" i="16"/>
  <c r="N236" i="16"/>
  <c r="J238" i="16"/>
  <c r="I240" i="16"/>
  <c r="J240" i="16"/>
  <c r="K240" i="16"/>
  <c r="I241" i="16"/>
  <c r="K241" i="16" s="1"/>
  <c r="J241" i="16"/>
  <c r="J242" i="16"/>
  <c r="N243" i="16"/>
  <c r="N232" i="16" s="1"/>
  <c r="P243" i="16"/>
  <c r="L244" i="16"/>
  <c r="L245" i="16"/>
  <c r="L246" i="16"/>
  <c r="L247" i="16"/>
  <c r="I249" i="16"/>
  <c r="I242" i="16" s="1"/>
  <c r="K251" i="16"/>
  <c r="K252" i="16"/>
  <c r="J253" i="16"/>
  <c r="J231" i="16" s="1"/>
  <c r="J185" i="16" s="1"/>
  <c r="N254" i="16"/>
  <c r="P254" i="16"/>
  <c r="L255" i="16"/>
  <c r="L256" i="16"/>
  <c r="L257" i="16"/>
  <c r="L258" i="16"/>
  <c r="I260" i="16"/>
  <c r="K260" i="16" s="1"/>
  <c r="K262" i="16"/>
  <c r="K263" i="16"/>
  <c r="I265" i="16"/>
  <c r="J265" i="16"/>
  <c r="K265" i="16"/>
  <c r="L267" i="16"/>
  <c r="O267" i="16" s="1"/>
  <c r="M267" i="16"/>
  <c r="P267" i="16" s="1"/>
  <c r="N267" i="16"/>
  <c r="O270" i="16"/>
  <c r="P270" i="16"/>
  <c r="L271" i="16"/>
  <c r="M271" i="16"/>
  <c r="N271" i="16"/>
  <c r="N269" i="16" s="1"/>
  <c r="O273" i="16"/>
  <c r="P273" i="16"/>
  <c r="L274" i="16"/>
  <c r="O274" i="16" s="1"/>
  <c r="M274" i="16"/>
  <c r="N274" i="16"/>
  <c r="J281" i="16"/>
  <c r="L283" i="16"/>
  <c r="O283" i="16" s="1"/>
  <c r="M283" i="16"/>
  <c r="N283" i="16"/>
  <c r="P283" i="16"/>
  <c r="O286" i="16"/>
  <c r="P286" i="16"/>
  <c r="L287" i="16"/>
  <c r="O287" i="16" s="1"/>
  <c r="M287" i="16"/>
  <c r="N287" i="16"/>
  <c r="N285" i="16" s="1"/>
  <c r="O289" i="16"/>
  <c r="P289" i="16"/>
  <c r="L290" i="16"/>
  <c r="O290" i="16" s="1"/>
  <c r="M290" i="16"/>
  <c r="M288" i="16" s="1"/>
  <c r="P288" i="16" s="1"/>
  <c r="N290" i="16"/>
  <c r="N288" i="16" s="1"/>
  <c r="I292" i="16"/>
  <c r="I281" i="16" s="1"/>
  <c r="K281" i="16" s="1"/>
  <c r="I293" i="16"/>
  <c r="I280" i="16" s="1"/>
  <c r="K280" i="16" s="1"/>
  <c r="J293" i="16"/>
  <c r="J280" i="16" s="1"/>
  <c r="I295" i="16"/>
  <c r="K295" i="16" s="1"/>
  <c r="I296" i="16"/>
  <c r="K296" i="16" s="1"/>
  <c r="J302" i="16"/>
  <c r="L304" i="16"/>
  <c r="O304" i="16" s="1"/>
  <c r="M304" i="16"/>
  <c r="P304" i="16" s="1"/>
  <c r="N304" i="16"/>
  <c r="O307" i="16"/>
  <c r="P307" i="16"/>
  <c r="L308" i="16"/>
  <c r="M308" i="16"/>
  <c r="N308" i="16"/>
  <c r="O310" i="16"/>
  <c r="P310" i="16"/>
  <c r="L311" i="16"/>
  <c r="L309" i="16" s="1"/>
  <c r="O309" i="16" s="1"/>
  <c r="M311" i="16"/>
  <c r="N311" i="16"/>
  <c r="N309" i="16" s="1"/>
  <c r="I314" i="16"/>
  <c r="K314" i="16" s="1"/>
  <c r="I315" i="16"/>
  <c r="K315" i="16" s="1"/>
  <c r="I316" i="16"/>
  <c r="K316" i="16" s="1"/>
  <c r="I317" i="16"/>
  <c r="K317" i="16" s="1"/>
  <c r="J319" i="16"/>
  <c r="L321" i="16"/>
  <c r="M321" i="16"/>
  <c r="N321" i="16"/>
  <c r="P321" i="16"/>
  <c r="O324" i="16"/>
  <c r="P324" i="16"/>
  <c r="L325" i="16"/>
  <c r="L323" i="16" s="1"/>
  <c r="O323" i="16" s="1"/>
  <c r="M325" i="16"/>
  <c r="N325" i="16"/>
  <c r="O327" i="16"/>
  <c r="P327" i="16"/>
  <c r="L328" i="16"/>
  <c r="O328" i="16" s="1"/>
  <c r="M328" i="16"/>
  <c r="M326" i="16" s="1"/>
  <c r="P326" i="16" s="1"/>
  <c r="N328" i="16"/>
  <c r="N326" i="16" s="1"/>
  <c r="I330" i="16"/>
  <c r="I319" i="16" s="1"/>
  <c r="K319" i="16" s="1"/>
  <c r="L334" i="16"/>
  <c r="M334" i="16"/>
  <c r="N334" i="16"/>
  <c r="O334" i="16"/>
  <c r="O337" i="16"/>
  <c r="P337" i="16"/>
  <c r="L338" i="16"/>
  <c r="L336" i="16" s="1"/>
  <c r="M338" i="16"/>
  <c r="M336" i="16" s="1"/>
  <c r="N338" i="16"/>
  <c r="O340" i="16"/>
  <c r="P340" i="16"/>
  <c r="L341" i="16"/>
  <c r="L339" i="16" s="1"/>
  <c r="O339" i="16" s="1"/>
  <c r="M341" i="16"/>
  <c r="M339" i="16" s="1"/>
  <c r="P339" i="16" s="1"/>
  <c r="N341" i="16"/>
  <c r="N339" i="16" s="1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L357" i="16"/>
  <c r="M357" i="16"/>
  <c r="P357" i="16" s="1"/>
  <c r="N357" i="16"/>
  <c r="O357" i="16"/>
  <c r="O360" i="16"/>
  <c r="P360" i="16"/>
  <c r="L361" i="16"/>
  <c r="L359" i="16" s="1"/>
  <c r="M361" i="16"/>
  <c r="M359" i="16" s="1"/>
  <c r="N361" i="16"/>
  <c r="O363" i="16"/>
  <c r="P363" i="16"/>
  <c r="L364" i="16"/>
  <c r="L362" i="16" s="1"/>
  <c r="O362" i="16" s="1"/>
  <c r="M364" i="16"/>
  <c r="M362" i="16" s="1"/>
  <c r="P362" i="16" s="1"/>
  <c r="N364" i="16"/>
  <c r="N362" i="16" s="1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I376" i="16"/>
  <c r="J376" i="16"/>
  <c r="K376" i="16"/>
  <c r="L378" i="16"/>
  <c r="O378" i="16" s="1"/>
  <c r="M378" i="16"/>
  <c r="N378" i="16"/>
  <c r="O381" i="16"/>
  <c r="P381" i="16"/>
  <c r="L382" i="16"/>
  <c r="L380" i="16" s="1"/>
  <c r="O380" i="16" s="1"/>
  <c r="M382" i="16"/>
  <c r="P382" i="16" s="1"/>
  <c r="N382" i="16"/>
  <c r="O384" i="16"/>
  <c r="P384" i="16"/>
  <c r="L385" i="16"/>
  <c r="O385" i="16" s="1"/>
  <c r="M385" i="16"/>
  <c r="P385" i="16" s="1"/>
  <c r="N385" i="16"/>
  <c r="N383" i="16" s="1"/>
  <c r="K387" i="16"/>
  <c r="K388" i="16"/>
  <c r="A391" i="16"/>
  <c r="L22" i="15"/>
  <c r="O22" i="15" s="1"/>
  <c r="M22" i="15"/>
  <c r="N22" i="15"/>
  <c r="N19" i="15" s="1"/>
  <c r="L25" i="15"/>
  <c r="M25" i="15"/>
  <c r="P25" i="15" s="1"/>
  <c r="N25" i="15"/>
  <c r="L45" i="15"/>
  <c r="M45" i="15"/>
  <c r="N45" i="15"/>
  <c r="O45" i="15"/>
  <c r="P45" i="15"/>
  <c r="O48" i="15"/>
  <c r="P48" i="15"/>
  <c r="L49" i="15"/>
  <c r="M49" i="15"/>
  <c r="M47" i="15" s="1"/>
  <c r="N49" i="15"/>
  <c r="N47" i="15" s="1"/>
  <c r="O51" i="15"/>
  <c r="P51" i="15"/>
  <c r="L52" i="15"/>
  <c r="L50" i="15" s="1"/>
  <c r="O50" i="15" s="1"/>
  <c r="M52" i="15"/>
  <c r="P52" i="15" s="1"/>
  <c r="N52" i="15"/>
  <c r="L60" i="15"/>
  <c r="O60" i="15" s="1"/>
  <c r="M60" i="15"/>
  <c r="N60" i="15"/>
  <c r="O63" i="15"/>
  <c r="P63" i="15"/>
  <c r="L64" i="15"/>
  <c r="M64" i="15"/>
  <c r="M62" i="15" s="1"/>
  <c r="N64" i="15"/>
  <c r="O66" i="15"/>
  <c r="P66" i="15"/>
  <c r="L67" i="15"/>
  <c r="M67" i="15"/>
  <c r="M65" i="15" s="1"/>
  <c r="P65" i="15" s="1"/>
  <c r="N67" i="15"/>
  <c r="N65" i="15" s="1"/>
  <c r="L73" i="15"/>
  <c r="O73" i="15" s="1"/>
  <c r="M73" i="15"/>
  <c r="P73" i="15" s="1"/>
  <c r="N73" i="15"/>
  <c r="O76" i="15"/>
  <c r="P76" i="15"/>
  <c r="L77" i="15"/>
  <c r="L75" i="15" s="1"/>
  <c r="O75" i="15" s="1"/>
  <c r="M77" i="15"/>
  <c r="N77" i="15"/>
  <c r="N75" i="15" s="1"/>
  <c r="O79" i="15"/>
  <c r="P79" i="15"/>
  <c r="L80" i="15"/>
  <c r="O80" i="15" s="1"/>
  <c r="M80" i="15"/>
  <c r="P80" i="15" s="1"/>
  <c r="N80" i="15"/>
  <c r="N78" i="15" s="1"/>
  <c r="J82" i="15"/>
  <c r="J70" i="15" s="1"/>
  <c r="J83" i="15"/>
  <c r="J71" i="15" s="1"/>
  <c r="I84" i="15"/>
  <c r="K84" i="15" s="1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O95" i="15"/>
  <c r="O98" i="15"/>
  <c r="P98" i="15"/>
  <c r="L99" i="15"/>
  <c r="L97" i="15" s="1"/>
  <c r="O97" i="15" s="1"/>
  <c r="M99" i="15"/>
  <c r="N99" i="15"/>
  <c r="N97" i="15" s="1"/>
  <c r="O101" i="15"/>
  <c r="P101" i="15"/>
  <c r="L102" i="15"/>
  <c r="L100" i="15" s="1"/>
  <c r="O100" i="15" s="1"/>
  <c r="M102" i="15"/>
  <c r="M100" i="15" s="1"/>
  <c r="P100" i="15" s="1"/>
  <c r="N102" i="15"/>
  <c r="N100" i="15" s="1"/>
  <c r="I108" i="15"/>
  <c r="I92" i="15" s="1"/>
  <c r="K92" i="15" s="1"/>
  <c r="I109" i="15"/>
  <c r="K109" i="15" s="1"/>
  <c r="I117" i="15"/>
  <c r="K117" i="15" s="1"/>
  <c r="L126" i="15"/>
  <c r="M126" i="15"/>
  <c r="P126" i="15" s="1"/>
  <c r="N126" i="15"/>
  <c r="O129" i="15"/>
  <c r="P129" i="15"/>
  <c r="L130" i="15"/>
  <c r="L128" i="15" s="1"/>
  <c r="O128" i="15" s="1"/>
  <c r="M130" i="15"/>
  <c r="N130" i="15"/>
  <c r="N128" i="15" s="1"/>
  <c r="O132" i="15"/>
  <c r="P132" i="15"/>
  <c r="L133" i="15"/>
  <c r="L131" i="15" s="1"/>
  <c r="O131" i="15" s="1"/>
  <c r="M133" i="15"/>
  <c r="P133" i="15" s="1"/>
  <c r="N133" i="15"/>
  <c r="N131" i="15" s="1"/>
  <c r="J136" i="15"/>
  <c r="J137" i="15"/>
  <c r="J138" i="15"/>
  <c r="L140" i="15"/>
  <c r="M140" i="15"/>
  <c r="P140" i="15" s="1"/>
  <c r="N140" i="15"/>
  <c r="O143" i="15"/>
  <c r="P143" i="15"/>
  <c r="L144" i="15"/>
  <c r="L142" i="15" s="1"/>
  <c r="O142" i="15" s="1"/>
  <c r="M144" i="15"/>
  <c r="P144" i="15" s="1"/>
  <c r="N144" i="15"/>
  <c r="O146" i="15"/>
  <c r="P146" i="15"/>
  <c r="L147" i="15"/>
  <c r="L145" i="15" s="1"/>
  <c r="O145" i="15" s="1"/>
  <c r="M147" i="15"/>
  <c r="P147" i="15" s="1"/>
  <c r="N147" i="15"/>
  <c r="N145" i="15" s="1"/>
  <c r="I150" i="15"/>
  <c r="K150" i="15" s="1"/>
  <c r="I151" i="15"/>
  <c r="K151" i="15" s="1"/>
  <c r="I152" i="15"/>
  <c r="I153" i="15"/>
  <c r="I138" i="15" s="1"/>
  <c r="K138" i="15" s="1"/>
  <c r="I154" i="15"/>
  <c r="J156" i="15"/>
  <c r="L158" i="15"/>
  <c r="O158" i="15" s="1"/>
  <c r="M158" i="15"/>
  <c r="N158" i="15"/>
  <c r="O161" i="15"/>
  <c r="P161" i="15"/>
  <c r="L162" i="15"/>
  <c r="L160" i="15" s="1"/>
  <c r="O160" i="15" s="1"/>
  <c r="M162" i="15"/>
  <c r="N162" i="15"/>
  <c r="N160" i="15" s="1"/>
  <c r="O164" i="15"/>
  <c r="P164" i="15"/>
  <c r="L165" i="15"/>
  <c r="L163" i="15" s="1"/>
  <c r="O163" i="15" s="1"/>
  <c r="M165" i="15"/>
  <c r="P165" i="15" s="1"/>
  <c r="N165" i="15"/>
  <c r="N163" i="15" s="1"/>
  <c r="I167" i="15"/>
  <c r="K167" i="15" s="1"/>
  <c r="I168" i="15"/>
  <c r="K168" i="15" s="1"/>
  <c r="I169" i="15"/>
  <c r="K169" i="15" s="1"/>
  <c r="J172" i="15"/>
  <c r="L174" i="15"/>
  <c r="O174" i="15" s="1"/>
  <c r="M174" i="15"/>
  <c r="P174" i="15" s="1"/>
  <c r="N174" i="15"/>
  <c r="O177" i="15"/>
  <c r="P177" i="15"/>
  <c r="L178" i="15"/>
  <c r="L176" i="15" s="1"/>
  <c r="M178" i="15"/>
  <c r="N178" i="15"/>
  <c r="N176" i="15" s="1"/>
  <c r="O180" i="15"/>
  <c r="P180" i="15"/>
  <c r="L181" i="15"/>
  <c r="O181" i="15" s="1"/>
  <c r="M181" i="15"/>
  <c r="P181" i="15" s="1"/>
  <c r="N181" i="15"/>
  <c r="N179" i="15" s="1"/>
  <c r="I183" i="15"/>
  <c r="K183" i="15" s="1"/>
  <c r="K184" i="15"/>
  <c r="L187" i="15"/>
  <c r="O187" i="15" s="1"/>
  <c r="M187" i="15"/>
  <c r="N187" i="15"/>
  <c r="P187" i="15"/>
  <c r="O190" i="15"/>
  <c r="P190" i="15"/>
  <c r="L191" i="15"/>
  <c r="L189" i="15" s="1"/>
  <c r="M191" i="15"/>
  <c r="N191" i="15"/>
  <c r="O193" i="15"/>
  <c r="P193" i="15"/>
  <c r="L194" i="15"/>
  <c r="O194" i="15" s="1"/>
  <c r="M194" i="15"/>
  <c r="M192" i="15" s="1"/>
  <c r="P192" i="15" s="1"/>
  <c r="N194" i="15"/>
  <c r="N192" i="15" s="1"/>
  <c r="J195" i="15"/>
  <c r="L196" i="15"/>
  <c r="O196" i="15" s="1"/>
  <c r="P196" i="15"/>
  <c r="I198" i="15"/>
  <c r="K198" i="15" s="1"/>
  <c r="J199" i="15"/>
  <c r="J202" i="15"/>
  <c r="N203" i="15"/>
  <c r="P203" i="15"/>
  <c r="L204" i="15"/>
  <c r="L205" i="15"/>
  <c r="L206" i="15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L215" i="15"/>
  <c r="L216" i="15"/>
  <c r="L217" i="15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42" i="15" s="1"/>
  <c r="I251" i="15"/>
  <c r="K251" i="15" s="1"/>
  <c r="I252" i="15"/>
  <c r="I241" i="15" s="1"/>
  <c r="J253" i="15"/>
  <c r="J231" i="15" s="1"/>
  <c r="J185" i="15" s="1"/>
  <c r="N254" i="15"/>
  <c r="N232" i="15" s="1"/>
  <c r="P254" i="15"/>
  <c r="L255" i="15"/>
  <c r="L256" i="15"/>
  <c r="L257" i="15"/>
  <c r="L258" i="15"/>
  <c r="I260" i="15"/>
  <c r="K262" i="15"/>
  <c r="K263" i="15"/>
  <c r="I265" i="15"/>
  <c r="K265" i="15" s="1"/>
  <c r="J265" i="15"/>
  <c r="L267" i="15"/>
  <c r="M267" i="15"/>
  <c r="P267" i="15" s="1"/>
  <c r="N267" i="15"/>
  <c r="O270" i="15"/>
  <c r="P270" i="15"/>
  <c r="L271" i="15"/>
  <c r="L269" i="15" s="1"/>
  <c r="O269" i="15" s="1"/>
  <c r="M271" i="15"/>
  <c r="M269" i="15" s="1"/>
  <c r="P269" i="15" s="1"/>
  <c r="N271" i="15"/>
  <c r="N269" i="15" s="1"/>
  <c r="O273" i="15"/>
  <c r="P273" i="15"/>
  <c r="L274" i="15"/>
  <c r="L272" i="15" s="1"/>
  <c r="O272" i="15" s="1"/>
  <c r="M274" i="15"/>
  <c r="M272" i="15" s="1"/>
  <c r="P272" i="15" s="1"/>
  <c r="N274" i="15"/>
  <c r="N272" i="15" s="1"/>
  <c r="J281" i="15"/>
  <c r="L283" i="15"/>
  <c r="O283" i="15" s="1"/>
  <c r="M283" i="15"/>
  <c r="P283" i="15" s="1"/>
  <c r="N283" i="15"/>
  <c r="O286" i="15"/>
  <c r="P286" i="15"/>
  <c r="L287" i="15"/>
  <c r="L285" i="15" s="1"/>
  <c r="O285" i="15" s="1"/>
  <c r="M287" i="15"/>
  <c r="M285" i="15" s="1"/>
  <c r="P285" i="15" s="1"/>
  <c r="N287" i="15"/>
  <c r="N285" i="15" s="1"/>
  <c r="O289" i="15"/>
  <c r="P289" i="15"/>
  <c r="L290" i="15"/>
  <c r="L288" i="15" s="1"/>
  <c r="O288" i="15" s="1"/>
  <c r="M290" i="15"/>
  <c r="P290" i="15" s="1"/>
  <c r="N290" i="15"/>
  <c r="N288" i="15" s="1"/>
  <c r="I292" i="15"/>
  <c r="I281" i="15" s="1"/>
  <c r="K281" i="15" s="1"/>
  <c r="I293" i="15"/>
  <c r="I280" i="15" s="1"/>
  <c r="K280" i="15" s="1"/>
  <c r="J293" i="15"/>
  <c r="J280" i="15" s="1"/>
  <c r="I295" i="15"/>
  <c r="K295" i="15" s="1"/>
  <c r="I296" i="15"/>
  <c r="K296" i="15" s="1"/>
  <c r="J302" i="15"/>
  <c r="L304" i="15"/>
  <c r="M304" i="15"/>
  <c r="N304" i="15"/>
  <c r="O304" i="15"/>
  <c r="P304" i="15"/>
  <c r="O307" i="15"/>
  <c r="P307" i="15"/>
  <c r="L308" i="15"/>
  <c r="L306" i="15" s="1"/>
  <c r="M308" i="15"/>
  <c r="M306" i="15" s="1"/>
  <c r="N308" i="15"/>
  <c r="O310" i="15"/>
  <c r="P310" i="15"/>
  <c r="L311" i="15"/>
  <c r="L309" i="15" s="1"/>
  <c r="O309" i="15" s="1"/>
  <c r="M311" i="15"/>
  <c r="P311" i="15" s="1"/>
  <c r="N311" i="15"/>
  <c r="N309" i="15" s="1"/>
  <c r="I314" i="15"/>
  <c r="I302" i="15" s="1"/>
  <c r="I315" i="15"/>
  <c r="K315" i="15" s="1"/>
  <c r="I316" i="15"/>
  <c r="K316" i="15" s="1"/>
  <c r="I317" i="15"/>
  <c r="K317" i="15" s="1"/>
  <c r="J319" i="15"/>
  <c r="L321" i="15"/>
  <c r="O321" i="15" s="1"/>
  <c r="M321" i="15"/>
  <c r="P321" i="15" s="1"/>
  <c r="N321" i="15"/>
  <c r="O324" i="15"/>
  <c r="P324" i="15"/>
  <c r="L325" i="15"/>
  <c r="L323" i="15" s="1"/>
  <c r="O323" i="15" s="1"/>
  <c r="M325" i="15"/>
  <c r="M323" i="15" s="1"/>
  <c r="P323" i="15" s="1"/>
  <c r="N325" i="15"/>
  <c r="N323" i="15" s="1"/>
  <c r="O327" i="15"/>
  <c r="P327" i="15"/>
  <c r="L328" i="15"/>
  <c r="L326" i="15" s="1"/>
  <c r="O326" i="15" s="1"/>
  <c r="M328" i="15"/>
  <c r="M326" i="15" s="1"/>
  <c r="P326" i="15" s="1"/>
  <c r="N328" i="15"/>
  <c r="N326" i="15" s="1"/>
  <c r="I330" i="15"/>
  <c r="K330" i="15" s="1"/>
  <c r="L334" i="15"/>
  <c r="O334" i="15" s="1"/>
  <c r="M334" i="15"/>
  <c r="N334" i="15"/>
  <c r="O337" i="15"/>
  <c r="P337" i="15"/>
  <c r="L338" i="15"/>
  <c r="L336" i="15" s="1"/>
  <c r="M338" i="15"/>
  <c r="N338" i="15"/>
  <c r="N336" i="15" s="1"/>
  <c r="O340" i="15"/>
  <c r="P340" i="15"/>
  <c r="L341" i="15"/>
  <c r="M341" i="15"/>
  <c r="P341" i="15" s="1"/>
  <c r="N341" i="15"/>
  <c r="N339" i="15" s="1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L357" i="15"/>
  <c r="O357" i="15" s="1"/>
  <c r="M357" i="15"/>
  <c r="N357" i="15"/>
  <c r="O360" i="15"/>
  <c r="P360" i="15"/>
  <c r="L361" i="15"/>
  <c r="L359" i="15" s="1"/>
  <c r="M361" i="15"/>
  <c r="N361" i="15"/>
  <c r="O363" i="15"/>
  <c r="P363" i="15"/>
  <c r="L364" i="15"/>
  <c r="L362" i="15" s="1"/>
  <c r="O362" i="15" s="1"/>
  <c r="M364" i="15"/>
  <c r="P364" i="15" s="1"/>
  <c r="N364" i="15"/>
  <c r="N362" i="15" s="1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I376" i="15"/>
  <c r="K376" i="15" s="1"/>
  <c r="J376" i="15"/>
  <c r="L378" i="15"/>
  <c r="O378" i="15" s="1"/>
  <c r="M378" i="15"/>
  <c r="P378" i="15" s="1"/>
  <c r="N378" i="15"/>
  <c r="O381" i="15"/>
  <c r="P381" i="15"/>
  <c r="L382" i="15"/>
  <c r="L380" i="15" s="1"/>
  <c r="O380" i="15" s="1"/>
  <c r="M382" i="15"/>
  <c r="P382" i="15" s="1"/>
  <c r="N382" i="15"/>
  <c r="N380" i="15" s="1"/>
  <c r="O384" i="15"/>
  <c r="P384" i="15"/>
  <c r="L385" i="15"/>
  <c r="L383" i="15" s="1"/>
  <c r="O383" i="15" s="1"/>
  <c r="M385" i="15"/>
  <c r="P385" i="15" s="1"/>
  <c r="N385" i="15"/>
  <c r="N383" i="15" s="1"/>
  <c r="K387" i="15"/>
  <c r="K388" i="15"/>
  <c r="A391" i="15"/>
  <c r="L22" i="14"/>
  <c r="M22" i="14"/>
  <c r="N22" i="14"/>
  <c r="N19" i="14" s="1"/>
  <c r="O22" i="14"/>
  <c r="L25" i="14"/>
  <c r="M25" i="14"/>
  <c r="P25" i="14" s="1"/>
  <c r="N25" i="14"/>
  <c r="L45" i="14"/>
  <c r="M45" i="14"/>
  <c r="P45" i="14" s="1"/>
  <c r="N45" i="14"/>
  <c r="O45" i="14"/>
  <c r="O48" i="14"/>
  <c r="P48" i="14"/>
  <c r="L49" i="14"/>
  <c r="M49" i="14"/>
  <c r="M47" i="14" s="1"/>
  <c r="N49" i="14"/>
  <c r="N47" i="14" s="1"/>
  <c r="O51" i="14"/>
  <c r="P51" i="14"/>
  <c r="L52" i="14"/>
  <c r="L50" i="14" s="1"/>
  <c r="O50" i="14" s="1"/>
  <c r="M52" i="14"/>
  <c r="P52" i="14" s="1"/>
  <c r="N52" i="14"/>
  <c r="L60" i="14"/>
  <c r="M60" i="14"/>
  <c r="N60" i="14"/>
  <c r="O60" i="14"/>
  <c r="O63" i="14"/>
  <c r="P63" i="14"/>
  <c r="L64" i="14"/>
  <c r="M64" i="14"/>
  <c r="M62" i="14" s="1"/>
  <c r="N64" i="14"/>
  <c r="N62" i="14" s="1"/>
  <c r="O66" i="14"/>
  <c r="P66" i="14"/>
  <c r="L67" i="14"/>
  <c r="O67" i="14" s="1"/>
  <c r="M67" i="14"/>
  <c r="P67" i="14" s="1"/>
  <c r="N67" i="14"/>
  <c r="N65" i="14" s="1"/>
  <c r="L73" i="14"/>
  <c r="O73" i="14" s="1"/>
  <c r="M73" i="14"/>
  <c r="N73" i="14"/>
  <c r="P73" i="14"/>
  <c r="O76" i="14"/>
  <c r="P76" i="14"/>
  <c r="L77" i="14"/>
  <c r="M77" i="14"/>
  <c r="M75" i="14" s="1"/>
  <c r="P75" i="14" s="1"/>
  <c r="N77" i="14"/>
  <c r="N75" i="14" s="1"/>
  <c r="O79" i="14"/>
  <c r="P79" i="14"/>
  <c r="L80" i="14"/>
  <c r="O80" i="14" s="1"/>
  <c r="M80" i="14"/>
  <c r="N80" i="14"/>
  <c r="N78" i="14" s="1"/>
  <c r="J82" i="14"/>
  <c r="J70" i="14" s="1"/>
  <c r="J83" i="14"/>
  <c r="J71" i="14" s="1"/>
  <c r="I84" i="14"/>
  <c r="K84" i="14" s="1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O95" i="14"/>
  <c r="O98" i="14"/>
  <c r="P98" i="14"/>
  <c r="L99" i="14"/>
  <c r="M99" i="14"/>
  <c r="N99" i="14"/>
  <c r="N97" i="14" s="1"/>
  <c r="O101" i="14"/>
  <c r="P101" i="14"/>
  <c r="L102" i="14"/>
  <c r="M102" i="14"/>
  <c r="N102" i="14"/>
  <c r="N100" i="14" s="1"/>
  <c r="I108" i="14"/>
  <c r="I92" i="14" s="1"/>
  <c r="K92" i="14" s="1"/>
  <c r="I109" i="14"/>
  <c r="K109" i="14" s="1"/>
  <c r="I117" i="14"/>
  <c r="K117" i="14" s="1"/>
  <c r="L126" i="14"/>
  <c r="M126" i="14"/>
  <c r="P126" i="14" s="1"/>
  <c r="N126" i="14"/>
  <c r="O129" i="14"/>
  <c r="P129" i="14"/>
  <c r="L130" i="14"/>
  <c r="L128" i="14" s="1"/>
  <c r="O128" i="14" s="1"/>
  <c r="M130" i="14"/>
  <c r="N130" i="14"/>
  <c r="N128" i="14" s="1"/>
  <c r="O132" i="14"/>
  <c r="P132" i="14"/>
  <c r="L133" i="14"/>
  <c r="L131" i="14" s="1"/>
  <c r="O131" i="14" s="1"/>
  <c r="M133" i="14"/>
  <c r="N133" i="14"/>
  <c r="N131" i="14" s="1"/>
  <c r="J136" i="14"/>
  <c r="J137" i="14"/>
  <c r="J138" i="14"/>
  <c r="L140" i="14"/>
  <c r="M140" i="14"/>
  <c r="P140" i="14" s="1"/>
  <c r="N140" i="14"/>
  <c r="O143" i="14"/>
  <c r="P143" i="14"/>
  <c r="L144" i="14"/>
  <c r="L142" i="14" s="1"/>
  <c r="M144" i="14"/>
  <c r="N144" i="14"/>
  <c r="N142" i="14" s="1"/>
  <c r="O146" i="14"/>
  <c r="P146" i="14"/>
  <c r="L147" i="14"/>
  <c r="L145" i="14" s="1"/>
  <c r="O145" i="14" s="1"/>
  <c r="M147" i="14"/>
  <c r="P147" i="14" s="1"/>
  <c r="N147" i="14"/>
  <c r="N145" i="14" s="1"/>
  <c r="I150" i="14"/>
  <c r="K150" i="14" s="1"/>
  <c r="I151" i="14"/>
  <c r="K151" i="14" s="1"/>
  <c r="I152" i="14"/>
  <c r="I153" i="14"/>
  <c r="I138" i="14" s="1"/>
  <c r="I154" i="14"/>
  <c r="J156" i="14"/>
  <c r="L158" i="14"/>
  <c r="O158" i="14" s="1"/>
  <c r="M158" i="14"/>
  <c r="P158" i="14" s="1"/>
  <c r="N158" i="14"/>
  <c r="O161" i="14"/>
  <c r="P161" i="14"/>
  <c r="L162" i="14"/>
  <c r="L160" i="14" s="1"/>
  <c r="M162" i="14"/>
  <c r="M160" i="14" s="1"/>
  <c r="P160" i="14" s="1"/>
  <c r="N162" i="14"/>
  <c r="N160" i="14" s="1"/>
  <c r="O164" i="14"/>
  <c r="P164" i="14"/>
  <c r="L165" i="14"/>
  <c r="O165" i="14" s="1"/>
  <c r="M165" i="14"/>
  <c r="M163" i="14" s="1"/>
  <c r="P163" i="14" s="1"/>
  <c r="N165" i="14"/>
  <c r="N163" i="14" s="1"/>
  <c r="I167" i="14"/>
  <c r="I169" i="14" s="1"/>
  <c r="K169" i="14" s="1"/>
  <c r="J172" i="14"/>
  <c r="L174" i="14"/>
  <c r="M174" i="14"/>
  <c r="N174" i="14"/>
  <c r="O174" i="14"/>
  <c r="O177" i="14"/>
  <c r="P177" i="14"/>
  <c r="L178" i="14"/>
  <c r="L176" i="14" s="1"/>
  <c r="M178" i="14"/>
  <c r="M176" i="14" s="1"/>
  <c r="N178" i="14"/>
  <c r="O180" i="14"/>
  <c r="P180" i="14"/>
  <c r="L181" i="14"/>
  <c r="L179" i="14" s="1"/>
  <c r="O179" i="14" s="1"/>
  <c r="M181" i="14"/>
  <c r="M179" i="14" s="1"/>
  <c r="P179" i="14" s="1"/>
  <c r="N181" i="14"/>
  <c r="N179" i="14" s="1"/>
  <c r="I183" i="14"/>
  <c r="K183" i="14" s="1"/>
  <c r="K184" i="14"/>
  <c r="L187" i="14"/>
  <c r="O187" i="14" s="1"/>
  <c r="M187" i="14"/>
  <c r="N187" i="14"/>
  <c r="O190" i="14"/>
  <c r="P190" i="14"/>
  <c r="L191" i="14"/>
  <c r="M191" i="14"/>
  <c r="M189" i="14" s="1"/>
  <c r="N191" i="14"/>
  <c r="N189" i="14" s="1"/>
  <c r="O193" i="14"/>
  <c r="P193" i="14"/>
  <c r="L194" i="14"/>
  <c r="O194" i="14" s="1"/>
  <c r="M194" i="14"/>
  <c r="P194" i="14" s="1"/>
  <c r="N194" i="14"/>
  <c r="N192" i="14" s="1"/>
  <c r="J195" i="14"/>
  <c r="L196" i="14"/>
  <c r="O196" i="14" s="1"/>
  <c r="P196" i="14"/>
  <c r="I198" i="14"/>
  <c r="K198" i="14" s="1"/>
  <c r="J199" i="14"/>
  <c r="J202" i="14"/>
  <c r="N203" i="14"/>
  <c r="P203" i="14"/>
  <c r="L204" i="14"/>
  <c r="L205" i="14"/>
  <c r="L206" i="14"/>
  <c r="L207" i="14"/>
  <c r="I209" i="14"/>
  <c r="I202" i="14" s="1"/>
  <c r="K202" i="14" s="1"/>
  <c r="I211" i="14"/>
  <c r="K211" i="14" s="1"/>
  <c r="I212" i="14"/>
  <c r="K212" i="14" s="1"/>
  <c r="J213" i="14"/>
  <c r="N214" i="14"/>
  <c r="P214" i="14"/>
  <c r="L215" i="14"/>
  <c r="L216" i="14"/>
  <c r="L217" i="14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P243" i="14"/>
  <c r="L244" i="14"/>
  <c r="L245" i="14"/>
  <c r="L246" i="14"/>
  <c r="L247" i="14"/>
  <c r="I249" i="14"/>
  <c r="K249" i="14" s="1"/>
  <c r="K251" i="14"/>
  <c r="K252" i="14"/>
  <c r="J253" i="14"/>
  <c r="N254" i="14"/>
  <c r="N232" i="14" s="1"/>
  <c r="P254" i="14"/>
  <c r="L255" i="14"/>
  <c r="L256" i="14"/>
  <c r="L257" i="14"/>
  <c r="L258" i="14"/>
  <c r="I260" i="14"/>
  <c r="K260" i="14" s="1"/>
  <c r="K262" i="14"/>
  <c r="K263" i="14"/>
  <c r="I265" i="14"/>
  <c r="K265" i="14" s="1"/>
  <c r="J265" i="14"/>
  <c r="L267" i="14"/>
  <c r="O267" i="14" s="1"/>
  <c r="M267" i="14"/>
  <c r="N267" i="14"/>
  <c r="O270" i="14"/>
  <c r="P270" i="14"/>
  <c r="L271" i="14"/>
  <c r="O271" i="14" s="1"/>
  <c r="M271" i="14"/>
  <c r="P271" i="14" s="1"/>
  <c r="N271" i="14"/>
  <c r="N269" i="14" s="1"/>
  <c r="O273" i="14"/>
  <c r="P273" i="14"/>
  <c r="L274" i="14"/>
  <c r="O274" i="14" s="1"/>
  <c r="M274" i="14"/>
  <c r="P274" i="14" s="1"/>
  <c r="N274" i="14"/>
  <c r="N272" i="14" s="1"/>
  <c r="J281" i="14"/>
  <c r="L283" i="14"/>
  <c r="M283" i="14"/>
  <c r="N283" i="14"/>
  <c r="O283" i="14"/>
  <c r="P283" i="14"/>
  <c r="O286" i="14"/>
  <c r="P286" i="14"/>
  <c r="L287" i="14"/>
  <c r="L285" i="14" s="1"/>
  <c r="O285" i="14" s="1"/>
  <c r="M287" i="14"/>
  <c r="M285" i="14" s="1"/>
  <c r="P285" i="14" s="1"/>
  <c r="N287" i="14"/>
  <c r="N285" i="14" s="1"/>
  <c r="O289" i="14"/>
  <c r="P289" i="14"/>
  <c r="L290" i="14"/>
  <c r="L288" i="14" s="1"/>
  <c r="O288" i="14" s="1"/>
  <c r="M290" i="14"/>
  <c r="M288" i="14" s="1"/>
  <c r="P288" i="14" s="1"/>
  <c r="N290" i="14"/>
  <c r="N288" i="14" s="1"/>
  <c r="I292" i="14"/>
  <c r="I281" i="14" s="1"/>
  <c r="K281" i="14" s="1"/>
  <c r="I293" i="14"/>
  <c r="K293" i="14" s="1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O307" i="14"/>
  <c r="P307" i="14"/>
  <c r="L308" i="14"/>
  <c r="M308" i="14"/>
  <c r="P308" i="14" s="1"/>
  <c r="N308" i="14"/>
  <c r="N306" i="14" s="1"/>
  <c r="O310" i="14"/>
  <c r="P310" i="14"/>
  <c r="L311" i="14"/>
  <c r="L309" i="14" s="1"/>
  <c r="O309" i="14" s="1"/>
  <c r="M311" i="14"/>
  <c r="P311" i="14" s="1"/>
  <c r="N311" i="14"/>
  <c r="N309" i="14" s="1"/>
  <c r="I314" i="14"/>
  <c r="I302" i="14" s="1"/>
  <c r="K302" i="14" s="1"/>
  <c r="I315" i="14"/>
  <c r="K315" i="14" s="1"/>
  <c r="I316" i="14"/>
  <c r="K316" i="14" s="1"/>
  <c r="I317" i="14"/>
  <c r="K317" i="14" s="1"/>
  <c r="J319" i="14"/>
  <c r="L321" i="14"/>
  <c r="O321" i="14" s="1"/>
  <c r="M321" i="14"/>
  <c r="P321" i="14" s="1"/>
  <c r="N321" i="14"/>
  <c r="O324" i="14"/>
  <c r="P324" i="14"/>
  <c r="L325" i="14"/>
  <c r="L323" i="14" s="1"/>
  <c r="O323" i="14" s="1"/>
  <c r="M325" i="14"/>
  <c r="M323" i="14" s="1"/>
  <c r="P323" i="14" s="1"/>
  <c r="N325" i="14"/>
  <c r="N323" i="14" s="1"/>
  <c r="O327" i="14"/>
  <c r="P327" i="14"/>
  <c r="L328" i="14"/>
  <c r="L326" i="14" s="1"/>
  <c r="O326" i="14" s="1"/>
  <c r="M328" i="14"/>
  <c r="N328" i="14"/>
  <c r="N326" i="14" s="1"/>
  <c r="I330" i="14"/>
  <c r="I319" i="14" s="1"/>
  <c r="K319" i="14" s="1"/>
  <c r="L334" i="14"/>
  <c r="M334" i="14"/>
  <c r="N334" i="14"/>
  <c r="P334" i="14"/>
  <c r="O337" i="14"/>
  <c r="P337" i="14"/>
  <c r="L338" i="14"/>
  <c r="L336" i="14" s="1"/>
  <c r="M338" i="14"/>
  <c r="M336" i="14" s="1"/>
  <c r="N338" i="14"/>
  <c r="O340" i="14"/>
  <c r="P340" i="14"/>
  <c r="L341" i="14"/>
  <c r="L339" i="14" s="1"/>
  <c r="O339" i="14" s="1"/>
  <c r="M341" i="14"/>
  <c r="M339" i="14" s="1"/>
  <c r="P339" i="14" s="1"/>
  <c r="N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O360" i="14"/>
  <c r="P360" i="14"/>
  <c r="L361" i="14"/>
  <c r="L359" i="14" s="1"/>
  <c r="M361" i="14"/>
  <c r="N361" i="14"/>
  <c r="O363" i="14"/>
  <c r="P363" i="14"/>
  <c r="L364" i="14"/>
  <c r="L362" i="14" s="1"/>
  <c r="O362" i="14" s="1"/>
  <c r="M364" i="14"/>
  <c r="P364" i="14" s="1"/>
  <c r="N364" i="14"/>
  <c r="N362" i="14" s="1"/>
  <c r="J367" i="14"/>
  <c r="K367" i="14"/>
  <c r="I368" i="14"/>
  <c r="J368" i="14"/>
  <c r="I369" i="14"/>
  <c r="J369" i="14"/>
  <c r="J370" i="14"/>
  <c r="K370" i="14"/>
  <c r="I371" i="14"/>
  <c r="I365" i="14" s="1"/>
  <c r="J371" i="14"/>
  <c r="J372" i="14"/>
  <c r="K372" i="14"/>
  <c r="D373" i="14"/>
  <c r="I376" i="14"/>
  <c r="J376" i="14"/>
  <c r="K376" i="14"/>
  <c r="L378" i="14"/>
  <c r="O378" i="14" s="1"/>
  <c r="M378" i="14"/>
  <c r="P378" i="14" s="1"/>
  <c r="N378" i="14"/>
  <c r="O381" i="14"/>
  <c r="P381" i="14"/>
  <c r="L382" i="14"/>
  <c r="O382" i="14" s="1"/>
  <c r="M382" i="14"/>
  <c r="N382" i="14"/>
  <c r="N380" i="14" s="1"/>
  <c r="O384" i="14"/>
  <c r="P384" i="14"/>
  <c r="L385" i="14"/>
  <c r="O385" i="14" s="1"/>
  <c r="M385" i="14"/>
  <c r="P385" i="14" s="1"/>
  <c r="N385" i="14"/>
  <c r="N383" i="14" s="1"/>
  <c r="K387" i="14"/>
  <c r="K388" i="14"/>
  <c r="A391" i="14"/>
  <c r="L22" i="13"/>
  <c r="O22" i="13" s="1"/>
  <c r="M22" i="13"/>
  <c r="N22" i="13"/>
  <c r="N19" i="13" s="1"/>
  <c r="L25" i="13"/>
  <c r="M25" i="13"/>
  <c r="P25" i="13" s="1"/>
  <c r="N25" i="13"/>
  <c r="L45" i="13"/>
  <c r="M45" i="13"/>
  <c r="N45" i="13"/>
  <c r="O45" i="13"/>
  <c r="P45" i="13"/>
  <c r="O48" i="13"/>
  <c r="P48" i="13"/>
  <c r="L49" i="13"/>
  <c r="L47" i="13" s="1"/>
  <c r="M49" i="13"/>
  <c r="M47" i="13" s="1"/>
  <c r="N49" i="13"/>
  <c r="N47" i="13" s="1"/>
  <c r="O51" i="13"/>
  <c r="P51" i="13"/>
  <c r="L52" i="13"/>
  <c r="L50" i="13" s="1"/>
  <c r="O50" i="13" s="1"/>
  <c r="M52" i="13"/>
  <c r="M50" i="13" s="1"/>
  <c r="P50" i="13" s="1"/>
  <c r="N52" i="13"/>
  <c r="N50" i="13" s="1"/>
  <c r="L60" i="13"/>
  <c r="O60" i="13" s="1"/>
  <c r="M60" i="13"/>
  <c r="N60" i="13"/>
  <c r="O63" i="13"/>
  <c r="P63" i="13"/>
  <c r="L64" i="13"/>
  <c r="M64" i="13"/>
  <c r="N64" i="13"/>
  <c r="O66" i="13"/>
  <c r="P66" i="13"/>
  <c r="L67" i="13"/>
  <c r="O67" i="13" s="1"/>
  <c r="M67" i="13"/>
  <c r="N67" i="13"/>
  <c r="L73" i="13"/>
  <c r="M73" i="13"/>
  <c r="P73" i="13" s="1"/>
  <c r="N73" i="13"/>
  <c r="O76" i="13"/>
  <c r="P76" i="13"/>
  <c r="L77" i="13"/>
  <c r="L75" i="13" s="1"/>
  <c r="O75" i="13" s="1"/>
  <c r="M77" i="13"/>
  <c r="M75" i="13" s="1"/>
  <c r="P75" i="13" s="1"/>
  <c r="N77" i="13"/>
  <c r="N75" i="13" s="1"/>
  <c r="O79" i="13"/>
  <c r="P79" i="13"/>
  <c r="L80" i="13"/>
  <c r="L78" i="13" s="1"/>
  <c r="O78" i="13" s="1"/>
  <c r="M80" i="13"/>
  <c r="M78" i="13" s="1"/>
  <c r="P78" i="13" s="1"/>
  <c r="N80" i="13"/>
  <c r="N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O95" i="13" s="1"/>
  <c r="M95" i="13"/>
  <c r="N95" i="13"/>
  <c r="P95" i="13"/>
  <c r="O98" i="13"/>
  <c r="P98" i="13"/>
  <c r="L99" i="13"/>
  <c r="O99" i="13" s="1"/>
  <c r="M99" i="13"/>
  <c r="M97" i="13" s="1"/>
  <c r="P97" i="13" s="1"/>
  <c r="N99" i="13"/>
  <c r="N97" i="13" s="1"/>
  <c r="O101" i="13"/>
  <c r="P101" i="13"/>
  <c r="L102" i="13"/>
  <c r="O102" i="13" s="1"/>
  <c r="M102" i="13"/>
  <c r="M100" i="13" s="1"/>
  <c r="P100" i="13" s="1"/>
  <c r="N102" i="13"/>
  <c r="N100" i="13" s="1"/>
  <c r="I108" i="13"/>
  <c r="I92" i="13" s="1"/>
  <c r="K92" i="13" s="1"/>
  <c r="I109" i="13"/>
  <c r="K109" i="13" s="1"/>
  <c r="I117" i="13"/>
  <c r="K117" i="13" s="1"/>
  <c r="L126" i="13"/>
  <c r="O126" i="13" s="1"/>
  <c r="M126" i="13"/>
  <c r="P126" i="13" s="1"/>
  <c r="N126" i="13"/>
  <c r="O129" i="13"/>
  <c r="P129" i="13"/>
  <c r="L130" i="13"/>
  <c r="O130" i="13" s="1"/>
  <c r="M130" i="13"/>
  <c r="P130" i="13" s="1"/>
  <c r="N130" i="13"/>
  <c r="N128" i="13" s="1"/>
  <c r="O132" i="13"/>
  <c r="P132" i="13"/>
  <c r="L133" i="13"/>
  <c r="L131" i="13" s="1"/>
  <c r="O131" i="13" s="1"/>
  <c r="M133" i="13"/>
  <c r="P133" i="13" s="1"/>
  <c r="N133" i="13"/>
  <c r="N131" i="13" s="1"/>
  <c r="J136" i="13"/>
  <c r="J137" i="13"/>
  <c r="J138" i="13"/>
  <c r="L140" i="13"/>
  <c r="O140" i="13" s="1"/>
  <c r="M140" i="13"/>
  <c r="P140" i="13" s="1"/>
  <c r="N140" i="13"/>
  <c r="O143" i="13"/>
  <c r="P143" i="13"/>
  <c r="L144" i="13"/>
  <c r="L142" i="13" s="1"/>
  <c r="O142" i="13" s="1"/>
  <c r="M144" i="13"/>
  <c r="P144" i="13" s="1"/>
  <c r="N144" i="13"/>
  <c r="N142" i="13" s="1"/>
  <c r="O146" i="13"/>
  <c r="P146" i="13"/>
  <c r="L147" i="13"/>
  <c r="O147" i="13" s="1"/>
  <c r="M147" i="13"/>
  <c r="P147" i="13" s="1"/>
  <c r="N147" i="13"/>
  <c r="N145" i="13" s="1"/>
  <c r="I150" i="13"/>
  <c r="K150" i="13" s="1"/>
  <c r="I151" i="13"/>
  <c r="K151" i="13" s="1"/>
  <c r="I152" i="13"/>
  <c r="K152" i="13" s="1"/>
  <c r="I153" i="13"/>
  <c r="I138" i="13" s="1"/>
  <c r="K138" i="13" s="1"/>
  <c r="I154" i="13"/>
  <c r="I136" i="13" s="1"/>
  <c r="K136" i="13" s="1"/>
  <c r="J156" i="13"/>
  <c r="L158" i="13"/>
  <c r="M158" i="13"/>
  <c r="N158" i="13"/>
  <c r="O158" i="13"/>
  <c r="P158" i="13"/>
  <c r="O161" i="13"/>
  <c r="P161" i="13"/>
  <c r="L162" i="13"/>
  <c r="M162" i="13"/>
  <c r="M160" i="13" s="1"/>
  <c r="P160" i="13" s="1"/>
  <c r="N162" i="13"/>
  <c r="O164" i="13"/>
  <c r="P164" i="13"/>
  <c r="L165" i="13"/>
  <c r="L163" i="13" s="1"/>
  <c r="O163" i="13" s="1"/>
  <c r="M165" i="13"/>
  <c r="M163" i="13" s="1"/>
  <c r="P163" i="13" s="1"/>
  <c r="N165" i="13"/>
  <c r="N163" i="13" s="1"/>
  <c r="I167" i="13"/>
  <c r="I156" i="13" s="1"/>
  <c r="K156" i="13" s="1"/>
  <c r="J172" i="13"/>
  <c r="L174" i="13"/>
  <c r="O174" i="13" s="1"/>
  <c r="M174" i="13"/>
  <c r="P174" i="13" s="1"/>
  <c r="N174" i="13"/>
  <c r="O177" i="13"/>
  <c r="P177" i="13"/>
  <c r="L178" i="13"/>
  <c r="L176" i="13" s="1"/>
  <c r="M178" i="13"/>
  <c r="M176" i="13" s="1"/>
  <c r="N178" i="13"/>
  <c r="N176" i="13" s="1"/>
  <c r="O180" i="13"/>
  <c r="P180" i="13"/>
  <c r="L181" i="13"/>
  <c r="L179" i="13" s="1"/>
  <c r="O179" i="13" s="1"/>
  <c r="M181" i="13"/>
  <c r="M179" i="13" s="1"/>
  <c r="P179" i="13" s="1"/>
  <c r="N181" i="13"/>
  <c r="N179" i="13" s="1"/>
  <c r="I183" i="13"/>
  <c r="K183" i="13" s="1"/>
  <c r="K184" i="13"/>
  <c r="L187" i="13"/>
  <c r="O187" i="13" s="1"/>
  <c r="M187" i="13"/>
  <c r="N187" i="13"/>
  <c r="O190" i="13"/>
  <c r="P190" i="13"/>
  <c r="L191" i="13"/>
  <c r="M191" i="13"/>
  <c r="N191" i="13"/>
  <c r="N189" i="13" s="1"/>
  <c r="O193" i="13"/>
  <c r="P193" i="13"/>
  <c r="L194" i="13"/>
  <c r="O194" i="13" s="1"/>
  <c r="M194" i="13"/>
  <c r="N194" i="13"/>
  <c r="N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L204" i="13"/>
  <c r="L205" i="13"/>
  <c r="L206" i="13"/>
  <c r="L207" i="13"/>
  <c r="I209" i="13"/>
  <c r="I202" i="13" s="1"/>
  <c r="I211" i="13"/>
  <c r="K211" i="13" s="1"/>
  <c r="I212" i="13"/>
  <c r="K212" i="13" s="1"/>
  <c r="J213" i="13"/>
  <c r="N214" i="13"/>
  <c r="P214" i="13"/>
  <c r="L215" i="13"/>
  <c r="L216" i="13"/>
  <c r="L217" i="13"/>
  <c r="I219" i="13"/>
  <c r="K219" i="13" s="1"/>
  <c r="I220" i="13"/>
  <c r="K220" i="13" s="1"/>
  <c r="J221" i="13"/>
  <c r="N222" i="13"/>
  <c r="P222" i="13"/>
  <c r="L223" i="13"/>
  <c r="L224" i="13"/>
  <c r="L225" i="13"/>
  <c r="I228" i="13"/>
  <c r="K228" i="13" s="1"/>
  <c r="I229" i="13"/>
  <c r="I221" i="13" s="1"/>
  <c r="I230" i="13"/>
  <c r="K230" i="13" s="1"/>
  <c r="N233" i="13"/>
  <c r="N234" i="13"/>
  <c r="N235" i="13"/>
  <c r="N236" i="13"/>
  <c r="J238" i="13"/>
  <c r="J240" i="13"/>
  <c r="J241" i="13"/>
  <c r="J242" i="13"/>
  <c r="N243" i="13"/>
  <c r="P243" i="13"/>
  <c r="L244" i="13"/>
  <c r="L245" i="13"/>
  <c r="L246" i="13"/>
  <c r="L247" i="13"/>
  <c r="I249" i="13"/>
  <c r="I242" i="13" s="1"/>
  <c r="K242" i="13" s="1"/>
  <c r="I251" i="13"/>
  <c r="I240" i="13" s="1"/>
  <c r="K240" i="13" s="1"/>
  <c r="I252" i="13"/>
  <c r="K252" i="13" s="1"/>
  <c r="J253" i="13"/>
  <c r="J231" i="13" s="1"/>
  <c r="J185" i="13" s="1"/>
  <c r="N254" i="13"/>
  <c r="P254" i="13"/>
  <c r="L255" i="13"/>
  <c r="L256" i="13"/>
  <c r="L257" i="13"/>
  <c r="L258" i="13"/>
  <c r="I260" i="13"/>
  <c r="I253" i="13" s="1"/>
  <c r="K262" i="13"/>
  <c r="K263" i="13"/>
  <c r="I265" i="13"/>
  <c r="K265" i="13" s="1"/>
  <c r="J265" i="13"/>
  <c r="L267" i="13"/>
  <c r="M267" i="13"/>
  <c r="N267" i="13"/>
  <c r="O267" i="13"/>
  <c r="O270" i="13"/>
  <c r="P270" i="13"/>
  <c r="L271" i="13"/>
  <c r="O271" i="13" s="1"/>
  <c r="M271" i="13"/>
  <c r="N271" i="13"/>
  <c r="N269" i="13" s="1"/>
  <c r="O273" i="13"/>
  <c r="P273" i="13"/>
  <c r="L274" i="13"/>
  <c r="O274" i="13" s="1"/>
  <c r="M274" i="13"/>
  <c r="M272" i="13" s="1"/>
  <c r="P272" i="13" s="1"/>
  <c r="N274" i="13"/>
  <c r="N272" i="13" s="1"/>
  <c r="J281" i="13"/>
  <c r="L283" i="13"/>
  <c r="O283" i="13" s="1"/>
  <c r="M283" i="13"/>
  <c r="N283" i="13"/>
  <c r="P283" i="13"/>
  <c r="O286" i="13"/>
  <c r="P286" i="13"/>
  <c r="L287" i="13"/>
  <c r="M287" i="13"/>
  <c r="N287" i="13"/>
  <c r="O289" i="13"/>
  <c r="P289" i="13"/>
  <c r="L290" i="13"/>
  <c r="L288" i="13" s="1"/>
  <c r="O288" i="13" s="1"/>
  <c r="M290" i="13"/>
  <c r="N290" i="13"/>
  <c r="N288" i="13" s="1"/>
  <c r="I292" i="13"/>
  <c r="K292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O307" i="13"/>
  <c r="P307" i="13"/>
  <c r="L308" i="13"/>
  <c r="M308" i="13"/>
  <c r="N308" i="13"/>
  <c r="N306" i="13" s="1"/>
  <c r="O310" i="13"/>
  <c r="P310" i="13"/>
  <c r="L311" i="13"/>
  <c r="O311" i="13" s="1"/>
  <c r="M311" i="13"/>
  <c r="M309" i="13" s="1"/>
  <c r="P309" i="13" s="1"/>
  <c r="N311" i="13"/>
  <c r="N309" i="13" s="1"/>
  <c r="I314" i="13"/>
  <c r="I302" i="13" s="1"/>
  <c r="I315" i="13"/>
  <c r="K315" i="13" s="1"/>
  <c r="I316" i="13"/>
  <c r="K316" i="13" s="1"/>
  <c r="I317" i="13"/>
  <c r="K317" i="13" s="1"/>
  <c r="J319" i="13"/>
  <c r="L321" i="13"/>
  <c r="M321" i="13"/>
  <c r="P321" i="13" s="1"/>
  <c r="N321" i="13"/>
  <c r="O321" i="13"/>
  <c r="O324" i="13"/>
  <c r="P324" i="13"/>
  <c r="L325" i="13"/>
  <c r="L323" i="13" s="1"/>
  <c r="O323" i="13" s="1"/>
  <c r="M325" i="13"/>
  <c r="M323" i="13" s="1"/>
  <c r="P323" i="13" s="1"/>
  <c r="N325" i="13"/>
  <c r="N323" i="13" s="1"/>
  <c r="O327" i="13"/>
  <c r="P327" i="13"/>
  <c r="L328" i="13"/>
  <c r="L326" i="13" s="1"/>
  <c r="O326" i="13" s="1"/>
  <c r="M328" i="13"/>
  <c r="P328" i="13" s="1"/>
  <c r="N328" i="13"/>
  <c r="N326" i="13" s="1"/>
  <c r="I330" i="13"/>
  <c r="I319" i="13" s="1"/>
  <c r="K319" i="13" s="1"/>
  <c r="L334" i="13"/>
  <c r="O334" i="13" s="1"/>
  <c r="M334" i="13"/>
  <c r="P334" i="13" s="1"/>
  <c r="N334" i="13"/>
  <c r="O337" i="13"/>
  <c r="P337" i="13"/>
  <c r="L338" i="13"/>
  <c r="L336" i="13" s="1"/>
  <c r="M338" i="13"/>
  <c r="M336" i="13" s="1"/>
  <c r="N338" i="13"/>
  <c r="O340" i="13"/>
  <c r="P340" i="13"/>
  <c r="L341" i="13"/>
  <c r="L339" i="13" s="1"/>
  <c r="O339" i="13" s="1"/>
  <c r="M341" i="13"/>
  <c r="M339" i="13" s="1"/>
  <c r="P339" i="13" s="1"/>
  <c r="N341" i="13"/>
  <c r="N339" i="13" s="1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P357" i="13" s="1"/>
  <c r="N357" i="13"/>
  <c r="O360" i="13"/>
  <c r="P360" i="13"/>
  <c r="L361" i="13"/>
  <c r="L359" i="13" s="1"/>
  <c r="M361" i="13"/>
  <c r="M359" i="13" s="1"/>
  <c r="N361" i="13"/>
  <c r="N359" i="13" s="1"/>
  <c r="O363" i="13"/>
  <c r="P363" i="13"/>
  <c r="L364" i="13"/>
  <c r="L362" i="13" s="1"/>
  <c r="O362" i="13" s="1"/>
  <c r="M364" i="13"/>
  <c r="M362" i="13" s="1"/>
  <c r="P362" i="13" s="1"/>
  <c r="N364" i="13"/>
  <c r="N362" i="13" s="1"/>
  <c r="J367" i="13"/>
  <c r="K367" i="13"/>
  <c r="I368" i="13"/>
  <c r="K368" i="13" s="1"/>
  <c r="J368" i="13"/>
  <c r="I369" i="13"/>
  <c r="K369" i="13" s="1"/>
  <c r="J369" i="13"/>
  <c r="J370" i="13"/>
  <c r="K370" i="13"/>
  <c r="I371" i="13"/>
  <c r="I365" i="13" s="1"/>
  <c r="K365" i="13" s="1"/>
  <c r="J371" i="13"/>
  <c r="J365" i="13" s="1"/>
  <c r="J372" i="13"/>
  <c r="K372" i="13"/>
  <c r="D373" i="13"/>
  <c r="I376" i="13"/>
  <c r="K376" i="13" s="1"/>
  <c r="J376" i="13"/>
  <c r="L378" i="13"/>
  <c r="M378" i="13"/>
  <c r="N378" i="13"/>
  <c r="O378" i="13"/>
  <c r="P378" i="13"/>
  <c r="O381" i="13"/>
  <c r="P381" i="13"/>
  <c r="L382" i="13"/>
  <c r="L380" i="13" s="1"/>
  <c r="O380" i="13" s="1"/>
  <c r="M382" i="13"/>
  <c r="N382" i="13"/>
  <c r="N380" i="13" s="1"/>
  <c r="O384" i="13"/>
  <c r="P384" i="13"/>
  <c r="L385" i="13"/>
  <c r="L383" i="13" s="1"/>
  <c r="O383" i="13" s="1"/>
  <c r="M385" i="13"/>
  <c r="M383" i="13" s="1"/>
  <c r="P383" i="13" s="1"/>
  <c r="N385" i="13"/>
  <c r="N383" i="13" s="1"/>
  <c r="K387" i="13"/>
  <c r="K388" i="13"/>
  <c r="A391" i="13"/>
  <c r="L22" i="12"/>
  <c r="M22" i="12"/>
  <c r="N22" i="12"/>
  <c r="O22" i="12"/>
  <c r="P22" i="12"/>
  <c r="L25" i="12"/>
  <c r="L19" i="12" s="1"/>
  <c r="M25" i="12"/>
  <c r="M19" i="12" s="1"/>
  <c r="N25" i="12"/>
  <c r="N19" i="12" s="1"/>
  <c r="L45" i="12"/>
  <c r="O45" i="12" s="1"/>
  <c r="M45" i="12"/>
  <c r="N45" i="12"/>
  <c r="P45" i="12"/>
  <c r="O48" i="12"/>
  <c r="P48" i="12"/>
  <c r="L49" i="12"/>
  <c r="M49" i="12"/>
  <c r="M47" i="12" s="1"/>
  <c r="N49" i="12"/>
  <c r="N47" i="12" s="1"/>
  <c r="O51" i="12"/>
  <c r="P51" i="12"/>
  <c r="L52" i="12"/>
  <c r="O52" i="12" s="1"/>
  <c r="M52" i="12"/>
  <c r="M50" i="12" s="1"/>
  <c r="P50" i="12" s="1"/>
  <c r="N52" i="12"/>
  <c r="L60" i="12"/>
  <c r="M60" i="12"/>
  <c r="N60" i="12"/>
  <c r="O60" i="12"/>
  <c r="O63" i="12"/>
  <c r="P63" i="12"/>
  <c r="L64" i="12"/>
  <c r="L62" i="12" s="1"/>
  <c r="M64" i="12"/>
  <c r="M62" i="12" s="1"/>
  <c r="N64" i="12"/>
  <c r="O66" i="12"/>
  <c r="P66" i="12"/>
  <c r="L67" i="12"/>
  <c r="M67" i="12"/>
  <c r="M65" i="12" s="1"/>
  <c r="P65" i="12" s="1"/>
  <c r="N67" i="12"/>
  <c r="N65" i="12" s="1"/>
  <c r="L73" i="12"/>
  <c r="O73" i="12" s="1"/>
  <c r="M73" i="12"/>
  <c r="N73" i="12"/>
  <c r="P73" i="12"/>
  <c r="O76" i="12"/>
  <c r="P76" i="12"/>
  <c r="L77" i="12"/>
  <c r="M77" i="12"/>
  <c r="M75" i="12" s="1"/>
  <c r="P75" i="12" s="1"/>
  <c r="N77" i="12"/>
  <c r="N75" i="12" s="1"/>
  <c r="O79" i="12"/>
  <c r="P79" i="12"/>
  <c r="L80" i="12"/>
  <c r="O80" i="12" s="1"/>
  <c r="M80" i="12"/>
  <c r="M78" i="12" s="1"/>
  <c r="P78" i="12" s="1"/>
  <c r="N80" i="12"/>
  <c r="N78" i="12" s="1"/>
  <c r="J82" i="12"/>
  <c r="J70" i="12" s="1"/>
  <c r="J83" i="12"/>
  <c r="J71" i="12" s="1"/>
  <c r="I84" i="12"/>
  <c r="K84" i="12" s="1"/>
  <c r="I85" i="12"/>
  <c r="K85" i="12" s="1"/>
  <c r="I86" i="12"/>
  <c r="K86" i="12" s="1"/>
  <c r="I87" i="12"/>
  <c r="I88" i="12"/>
  <c r="K88" i="12" s="1"/>
  <c r="I89" i="12"/>
  <c r="K89" i="12" s="1"/>
  <c r="I90" i="12"/>
  <c r="K90" i="12" s="1"/>
  <c r="J92" i="12"/>
  <c r="J93" i="12"/>
  <c r="L95" i="12"/>
  <c r="O95" i="12" s="1"/>
  <c r="M95" i="12"/>
  <c r="P95" i="12" s="1"/>
  <c r="N95" i="12"/>
  <c r="O98" i="12"/>
  <c r="P98" i="12"/>
  <c r="L99" i="12"/>
  <c r="M99" i="12"/>
  <c r="N99" i="12"/>
  <c r="O101" i="12"/>
  <c r="P101" i="12"/>
  <c r="L102" i="12"/>
  <c r="L100" i="12" s="1"/>
  <c r="O100" i="12" s="1"/>
  <c r="M102" i="12"/>
  <c r="P102" i="12" s="1"/>
  <c r="N102" i="12"/>
  <c r="N100" i="12" s="1"/>
  <c r="I108" i="12"/>
  <c r="I92" i="12" s="1"/>
  <c r="I109" i="12"/>
  <c r="I93" i="12" s="1"/>
  <c r="K93" i="12" s="1"/>
  <c r="I117" i="12"/>
  <c r="K117" i="12" s="1"/>
  <c r="L126" i="12"/>
  <c r="O126" i="12" s="1"/>
  <c r="M126" i="12"/>
  <c r="N126" i="12"/>
  <c r="O129" i="12"/>
  <c r="P129" i="12"/>
  <c r="L130" i="12"/>
  <c r="L128" i="12" s="1"/>
  <c r="O128" i="12" s="1"/>
  <c r="M130" i="12"/>
  <c r="M128" i="12" s="1"/>
  <c r="P128" i="12" s="1"/>
  <c r="N130" i="12"/>
  <c r="N128" i="12" s="1"/>
  <c r="O132" i="12"/>
  <c r="P132" i="12"/>
  <c r="L133" i="12"/>
  <c r="O133" i="12" s="1"/>
  <c r="M133" i="12"/>
  <c r="M131" i="12" s="1"/>
  <c r="P131" i="12" s="1"/>
  <c r="N133" i="12"/>
  <c r="N131" i="12" s="1"/>
  <c r="J136" i="12"/>
  <c r="J137" i="12"/>
  <c r="J138" i="12"/>
  <c r="L140" i="12"/>
  <c r="O140" i="12" s="1"/>
  <c r="M140" i="12"/>
  <c r="P140" i="12" s="1"/>
  <c r="N140" i="12"/>
  <c r="O143" i="12"/>
  <c r="P143" i="12"/>
  <c r="L144" i="12"/>
  <c r="L142" i="12" s="1"/>
  <c r="M144" i="12"/>
  <c r="N144" i="12"/>
  <c r="N142" i="12" s="1"/>
  <c r="O146" i="12"/>
  <c r="P146" i="12"/>
  <c r="L147" i="12"/>
  <c r="L145" i="12" s="1"/>
  <c r="O145" i="12" s="1"/>
  <c r="M147" i="12"/>
  <c r="M145" i="12" s="1"/>
  <c r="P145" i="12" s="1"/>
  <c r="N147" i="12"/>
  <c r="N145" i="12" s="1"/>
  <c r="I150" i="12"/>
  <c r="K150" i="12" s="1"/>
  <c r="I151" i="12"/>
  <c r="K151" i="12" s="1"/>
  <c r="I152" i="12"/>
  <c r="I153" i="12"/>
  <c r="I138" i="12" s="1"/>
  <c r="K138" i="12" s="1"/>
  <c r="I154" i="12"/>
  <c r="K154" i="12" s="1"/>
  <c r="J156" i="12"/>
  <c r="L158" i="12"/>
  <c r="O158" i="12" s="1"/>
  <c r="M158" i="12"/>
  <c r="N158" i="12"/>
  <c r="O161" i="12"/>
  <c r="P161" i="12"/>
  <c r="L162" i="12"/>
  <c r="M162" i="12"/>
  <c r="N162" i="12"/>
  <c r="N160" i="12" s="1"/>
  <c r="O164" i="12"/>
  <c r="P164" i="12"/>
  <c r="L165" i="12"/>
  <c r="O165" i="12" s="1"/>
  <c r="M165" i="12"/>
  <c r="N165" i="12"/>
  <c r="N163" i="12" s="1"/>
  <c r="I167" i="12"/>
  <c r="K167" i="12" s="1"/>
  <c r="I168" i="12"/>
  <c r="K168" i="12" s="1"/>
  <c r="I169" i="12"/>
  <c r="K169" i="12" s="1"/>
  <c r="J172" i="12"/>
  <c r="L174" i="12"/>
  <c r="O174" i="12" s="1"/>
  <c r="M174" i="12"/>
  <c r="P174" i="12" s="1"/>
  <c r="N174" i="12"/>
  <c r="O177" i="12"/>
  <c r="P177" i="12"/>
  <c r="L178" i="12"/>
  <c r="L176" i="12" s="1"/>
  <c r="M178" i="12"/>
  <c r="N178" i="12"/>
  <c r="N176" i="12" s="1"/>
  <c r="O180" i="12"/>
  <c r="P180" i="12"/>
  <c r="L181" i="12"/>
  <c r="O181" i="12" s="1"/>
  <c r="M181" i="12"/>
  <c r="N181" i="12"/>
  <c r="N179" i="12" s="1"/>
  <c r="I183" i="12"/>
  <c r="K183" i="12" s="1"/>
  <c r="K184" i="12"/>
  <c r="L187" i="12"/>
  <c r="O187" i="12" s="1"/>
  <c r="M187" i="12"/>
  <c r="N187" i="12"/>
  <c r="O190" i="12"/>
  <c r="P190" i="12"/>
  <c r="L191" i="12"/>
  <c r="M191" i="12"/>
  <c r="N191" i="12"/>
  <c r="O193" i="12"/>
  <c r="P193" i="12"/>
  <c r="L194" i="12"/>
  <c r="M194" i="12"/>
  <c r="N194" i="12"/>
  <c r="N192" i="12" s="1"/>
  <c r="J195" i="12"/>
  <c r="L196" i="12"/>
  <c r="O196" i="12" s="1"/>
  <c r="P196" i="12"/>
  <c r="I198" i="12"/>
  <c r="K198" i="12" s="1"/>
  <c r="J199" i="12"/>
  <c r="J202" i="12"/>
  <c r="N203" i="12"/>
  <c r="P203" i="12"/>
  <c r="L204" i="12"/>
  <c r="L205" i="12"/>
  <c r="L206" i="12"/>
  <c r="L207" i="12"/>
  <c r="I209" i="12"/>
  <c r="I211" i="12"/>
  <c r="K211" i="12" s="1"/>
  <c r="I212" i="12"/>
  <c r="K212" i="12" s="1"/>
  <c r="J213" i="12"/>
  <c r="N214" i="12"/>
  <c r="P214" i="12"/>
  <c r="L215" i="12"/>
  <c r="L216" i="12"/>
  <c r="L217" i="12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J231" i="12"/>
  <c r="J185" i="12" s="1"/>
  <c r="N233" i="12"/>
  <c r="N234" i="12"/>
  <c r="N235" i="12"/>
  <c r="N236" i="12"/>
  <c r="J238" i="12"/>
  <c r="J240" i="12"/>
  <c r="J241" i="12"/>
  <c r="J242" i="12"/>
  <c r="N243" i="12"/>
  <c r="P243" i="12"/>
  <c r="L244" i="12"/>
  <c r="L245" i="12"/>
  <c r="L246" i="12"/>
  <c r="L247" i="12"/>
  <c r="I249" i="12"/>
  <c r="I242" i="12" s="1"/>
  <c r="I251" i="12"/>
  <c r="I240" i="12" s="1"/>
  <c r="K240" i="12" s="1"/>
  <c r="I252" i="12"/>
  <c r="I241" i="12" s="1"/>
  <c r="K241" i="12" s="1"/>
  <c r="J253" i="12"/>
  <c r="N254" i="12"/>
  <c r="N232" i="12" s="1"/>
  <c r="P254" i="12"/>
  <c r="L255" i="12"/>
  <c r="L256" i="12"/>
  <c r="L257" i="12"/>
  <c r="L258" i="12"/>
  <c r="I260" i="12"/>
  <c r="K260" i="12" s="1"/>
  <c r="K262" i="12"/>
  <c r="K263" i="12"/>
  <c r="I265" i="12"/>
  <c r="J265" i="12"/>
  <c r="K265" i="12"/>
  <c r="L267" i="12"/>
  <c r="O267" i="12" s="1"/>
  <c r="M267" i="12"/>
  <c r="P267" i="12" s="1"/>
  <c r="N267" i="12"/>
  <c r="O270" i="12"/>
  <c r="P270" i="12"/>
  <c r="L271" i="12"/>
  <c r="L269" i="12" s="1"/>
  <c r="O269" i="12" s="1"/>
  <c r="M271" i="12"/>
  <c r="P271" i="12" s="1"/>
  <c r="N271" i="12"/>
  <c r="N269" i="12" s="1"/>
  <c r="O273" i="12"/>
  <c r="P273" i="12"/>
  <c r="L274" i="12"/>
  <c r="L272" i="12" s="1"/>
  <c r="O272" i="12" s="1"/>
  <c r="M274" i="12"/>
  <c r="P274" i="12" s="1"/>
  <c r="N274" i="12"/>
  <c r="J281" i="12"/>
  <c r="L283" i="12"/>
  <c r="M283" i="12"/>
  <c r="P283" i="12" s="1"/>
  <c r="N283" i="12"/>
  <c r="O283" i="12"/>
  <c r="O286" i="12"/>
  <c r="P286" i="12"/>
  <c r="L287" i="12"/>
  <c r="L285" i="12" s="1"/>
  <c r="O285" i="12" s="1"/>
  <c r="M287" i="12"/>
  <c r="M285" i="12" s="1"/>
  <c r="P285" i="12" s="1"/>
  <c r="N287" i="12"/>
  <c r="N285" i="12" s="1"/>
  <c r="O289" i="12"/>
  <c r="P289" i="12"/>
  <c r="L290" i="12"/>
  <c r="M290" i="12"/>
  <c r="M288" i="12" s="1"/>
  <c r="P288" i="12" s="1"/>
  <c r="N290" i="12"/>
  <c r="N288" i="12" s="1"/>
  <c r="I292" i="12"/>
  <c r="I281" i="12" s="1"/>
  <c r="K281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O304" i="12" s="1"/>
  <c r="M304" i="12"/>
  <c r="P304" i="12" s="1"/>
  <c r="N304" i="12"/>
  <c r="O307" i="12"/>
  <c r="P307" i="12"/>
  <c r="L308" i="12"/>
  <c r="L306" i="12" s="1"/>
  <c r="M308" i="12"/>
  <c r="N308" i="12"/>
  <c r="O310" i="12"/>
  <c r="P310" i="12"/>
  <c r="L311" i="12"/>
  <c r="L309" i="12" s="1"/>
  <c r="O309" i="12" s="1"/>
  <c r="M311" i="12"/>
  <c r="P311" i="12" s="1"/>
  <c r="N311" i="12"/>
  <c r="N309" i="12" s="1"/>
  <c r="I314" i="12"/>
  <c r="I302" i="12" s="1"/>
  <c r="K302" i="12" s="1"/>
  <c r="I315" i="12"/>
  <c r="K315" i="12" s="1"/>
  <c r="I316" i="12"/>
  <c r="K316" i="12" s="1"/>
  <c r="I317" i="12"/>
  <c r="K317" i="12" s="1"/>
  <c r="J319" i="12"/>
  <c r="L321" i="12"/>
  <c r="M321" i="12"/>
  <c r="N321" i="12"/>
  <c r="P321" i="12"/>
  <c r="O324" i="12"/>
  <c r="P324" i="12"/>
  <c r="L325" i="12"/>
  <c r="O325" i="12" s="1"/>
  <c r="M325" i="12"/>
  <c r="P325" i="12" s="1"/>
  <c r="N325" i="12"/>
  <c r="N323" i="12" s="1"/>
  <c r="O327" i="12"/>
  <c r="P327" i="12"/>
  <c r="L328" i="12"/>
  <c r="O328" i="12" s="1"/>
  <c r="M328" i="12"/>
  <c r="P328" i="12" s="1"/>
  <c r="N328" i="12"/>
  <c r="N326" i="12" s="1"/>
  <c r="I330" i="12"/>
  <c r="I319" i="12" s="1"/>
  <c r="K319" i="12" s="1"/>
  <c r="L334" i="12"/>
  <c r="M334" i="12"/>
  <c r="N334" i="12"/>
  <c r="O334" i="12"/>
  <c r="P334" i="12"/>
  <c r="O337" i="12"/>
  <c r="P337" i="12"/>
  <c r="L338" i="12"/>
  <c r="M338" i="12"/>
  <c r="N338" i="12"/>
  <c r="N336" i="12" s="1"/>
  <c r="O340" i="12"/>
  <c r="P340" i="12"/>
  <c r="L341" i="12"/>
  <c r="L339" i="12" s="1"/>
  <c r="O339" i="12" s="1"/>
  <c r="M341" i="12"/>
  <c r="P341" i="12" s="1"/>
  <c r="N341" i="12"/>
  <c r="N339" i="12" s="1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O357" i="12" s="1"/>
  <c r="M357" i="12"/>
  <c r="N357" i="12"/>
  <c r="P357" i="12"/>
  <c r="O360" i="12"/>
  <c r="P360" i="12"/>
  <c r="L361" i="12"/>
  <c r="M361" i="12"/>
  <c r="M359" i="12" s="1"/>
  <c r="N361" i="12"/>
  <c r="N359" i="12" s="1"/>
  <c r="O363" i="12"/>
  <c r="P363" i="12"/>
  <c r="L364" i="12"/>
  <c r="O364" i="12" s="1"/>
  <c r="M364" i="12"/>
  <c r="P364" i="12" s="1"/>
  <c r="N364" i="12"/>
  <c r="N362" i="12" s="1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I376" i="12"/>
  <c r="K376" i="12" s="1"/>
  <c r="J376" i="12"/>
  <c r="L378" i="12"/>
  <c r="M378" i="12"/>
  <c r="P378" i="12" s="1"/>
  <c r="N378" i="12"/>
  <c r="O378" i="12"/>
  <c r="O381" i="12"/>
  <c r="P381" i="12"/>
  <c r="L382" i="12"/>
  <c r="M382" i="12"/>
  <c r="M380" i="12" s="1"/>
  <c r="P380" i="12" s="1"/>
  <c r="N382" i="12"/>
  <c r="N380" i="12" s="1"/>
  <c r="O384" i="12"/>
  <c r="P384" i="12"/>
  <c r="L385" i="12"/>
  <c r="O385" i="12" s="1"/>
  <c r="M385" i="12"/>
  <c r="M383" i="12" s="1"/>
  <c r="P383" i="12" s="1"/>
  <c r="N385" i="12"/>
  <c r="N383" i="12" s="1"/>
  <c r="K387" i="12"/>
  <c r="K388" i="12"/>
  <c r="A391" i="12"/>
  <c r="L22" i="11"/>
  <c r="O22" i="11" s="1"/>
  <c r="M22" i="11"/>
  <c r="N22" i="11"/>
  <c r="L25" i="11"/>
  <c r="M25" i="11"/>
  <c r="N25" i="11"/>
  <c r="L45" i="11"/>
  <c r="O45" i="11" s="1"/>
  <c r="M45" i="11"/>
  <c r="N45" i="11"/>
  <c r="P45" i="11"/>
  <c r="O48" i="11"/>
  <c r="P48" i="11"/>
  <c r="L49" i="11"/>
  <c r="M49" i="11"/>
  <c r="N49" i="11"/>
  <c r="N47" i="11" s="1"/>
  <c r="O51" i="11"/>
  <c r="P51" i="11"/>
  <c r="L52" i="11"/>
  <c r="O52" i="11" s="1"/>
  <c r="M52" i="11"/>
  <c r="P52" i="11" s="1"/>
  <c r="N52" i="11"/>
  <c r="L60" i="11"/>
  <c r="M60" i="11"/>
  <c r="N60" i="11"/>
  <c r="O60" i="11"/>
  <c r="O63" i="11"/>
  <c r="P63" i="11"/>
  <c r="L64" i="11"/>
  <c r="M64" i="11"/>
  <c r="M62" i="11" s="1"/>
  <c r="N64" i="11"/>
  <c r="O66" i="11"/>
  <c r="P66" i="11"/>
  <c r="L67" i="11"/>
  <c r="L65" i="11" s="1"/>
  <c r="O65" i="11" s="1"/>
  <c r="M67" i="11"/>
  <c r="N67" i="11"/>
  <c r="N65" i="11" s="1"/>
  <c r="L73" i="11"/>
  <c r="O73" i="11" s="1"/>
  <c r="M73" i="11"/>
  <c r="N73" i="11"/>
  <c r="O76" i="11"/>
  <c r="P76" i="11"/>
  <c r="L77" i="11"/>
  <c r="M77" i="11"/>
  <c r="M75" i="11" s="1"/>
  <c r="P75" i="11" s="1"/>
  <c r="N77" i="11"/>
  <c r="N75" i="11" s="1"/>
  <c r="O79" i="11"/>
  <c r="P79" i="11"/>
  <c r="L80" i="11"/>
  <c r="O80" i="11" s="1"/>
  <c r="M80" i="11"/>
  <c r="P80" i="11" s="1"/>
  <c r="N80" i="11"/>
  <c r="N78" i="11" s="1"/>
  <c r="J82" i="11"/>
  <c r="J70" i="11" s="1"/>
  <c r="J83" i="11"/>
  <c r="J71" i="11" s="1"/>
  <c r="I84" i="11"/>
  <c r="K84" i="11" s="1"/>
  <c r="I85" i="11"/>
  <c r="K85" i="11" s="1"/>
  <c r="I86" i="11"/>
  <c r="K86" i="11" s="1"/>
  <c r="I87" i="1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O98" i="11"/>
  <c r="P98" i="11"/>
  <c r="L99" i="11"/>
  <c r="M99" i="11"/>
  <c r="N99" i="11"/>
  <c r="N97" i="11" s="1"/>
  <c r="O101" i="11"/>
  <c r="P101" i="11"/>
  <c r="L102" i="11"/>
  <c r="M102" i="11"/>
  <c r="P102" i="11" s="1"/>
  <c r="N102" i="11"/>
  <c r="N100" i="11" s="1"/>
  <c r="I108" i="11"/>
  <c r="K108" i="11" s="1"/>
  <c r="I109" i="11"/>
  <c r="K109" i="11" s="1"/>
  <c r="I117" i="11"/>
  <c r="K117" i="11" s="1"/>
  <c r="L126" i="11"/>
  <c r="M126" i="11"/>
  <c r="P126" i="11" s="1"/>
  <c r="N126" i="11"/>
  <c r="O126" i="11"/>
  <c r="O129" i="11"/>
  <c r="P129" i="11"/>
  <c r="L130" i="11"/>
  <c r="L128" i="11" s="1"/>
  <c r="O128" i="11" s="1"/>
  <c r="M130" i="11"/>
  <c r="P130" i="11" s="1"/>
  <c r="N130" i="11"/>
  <c r="O132" i="11"/>
  <c r="P132" i="11"/>
  <c r="L133" i="11"/>
  <c r="L131" i="11" s="1"/>
  <c r="O131" i="11" s="1"/>
  <c r="M133" i="11"/>
  <c r="M131" i="11" s="1"/>
  <c r="P131" i="11" s="1"/>
  <c r="N133" i="11"/>
  <c r="N131" i="11" s="1"/>
  <c r="J136" i="11"/>
  <c r="J137" i="11"/>
  <c r="J138" i="11"/>
  <c r="L140" i="11"/>
  <c r="M140" i="11"/>
  <c r="N140" i="11"/>
  <c r="O140" i="11"/>
  <c r="P140" i="11"/>
  <c r="O143" i="11"/>
  <c r="P143" i="11"/>
  <c r="L144" i="11"/>
  <c r="L142" i="11" s="1"/>
  <c r="O142" i="11" s="1"/>
  <c r="M144" i="11"/>
  <c r="P144" i="11" s="1"/>
  <c r="N144" i="11"/>
  <c r="O146" i="11"/>
  <c r="P146" i="11"/>
  <c r="L147" i="11"/>
  <c r="L145" i="11" s="1"/>
  <c r="O145" i="11" s="1"/>
  <c r="M147" i="11"/>
  <c r="P147" i="11" s="1"/>
  <c r="N147" i="11"/>
  <c r="N145" i="11" s="1"/>
  <c r="I150" i="11"/>
  <c r="K150" i="11" s="1"/>
  <c r="I151" i="11"/>
  <c r="K151" i="11" s="1"/>
  <c r="I152" i="11"/>
  <c r="I153" i="11"/>
  <c r="I138" i="11" s="1"/>
  <c r="K138" i="11" s="1"/>
  <c r="I154" i="11"/>
  <c r="I136" i="11" s="1"/>
  <c r="K136" i="11" s="1"/>
  <c r="J156" i="11"/>
  <c r="L158" i="11"/>
  <c r="O158" i="11" s="1"/>
  <c r="M158" i="11"/>
  <c r="N158" i="11"/>
  <c r="P158" i="11"/>
  <c r="O161" i="11"/>
  <c r="P161" i="11"/>
  <c r="L162" i="11"/>
  <c r="M162" i="11"/>
  <c r="M160" i="11" s="1"/>
  <c r="P160" i="11" s="1"/>
  <c r="N162" i="11"/>
  <c r="N160" i="11" s="1"/>
  <c r="O164" i="11"/>
  <c r="P164" i="11"/>
  <c r="L165" i="11"/>
  <c r="O165" i="11" s="1"/>
  <c r="M165" i="11"/>
  <c r="P165" i="11" s="1"/>
  <c r="N165" i="11"/>
  <c r="N163" i="11" s="1"/>
  <c r="I167" i="11"/>
  <c r="K167" i="11" s="1"/>
  <c r="J172" i="11"/>
  <c r="L174" i="11"/>
  <c r="O174" i="11" s="1"/>
  <c r="M174" i="11"/>
  <c r="N174" i="11"/>
  <c r="P174" i="11"/>
  <c r="O177" i="11"/>
  <c r="P177" i="11"/>
  <c r="L178" i="11"/>
  <c r="M178" i="11"/>
  <c r="N178" i="11"/>
  <c r="N176" i="11" s="1"/>
  <c r="O180" i="11"/>
  <c r="P180" i="11"/>
  <c r="L181" i="11"/>
  <c r="O181" i="11" s="1"/>
  <c r="M181" i="11"/>
  <c r="P181" i="11" s="1"/>
  <c r="N181" i="11"/>
  <c r="N179" i="11" s="1"/>
  <c r="I183" i="11"/>
  <c r="I172" i="11" s="1"/>
  <c r="K172" i="11" s="1"/>
  <c r="K184" i="11"/>
  <c r="L187" i="11"/>
  <c r="O187" i="11" s="1"/>
  <c r="M187" i="11"/>
  <c r="P187" i="11" s="1"/>
  <c r="N187" i="11"/>
  <c r="O190" i="11"/>
  <c r="P190" i="11"/>
  <c r="L191" i="11"/>
  <c r="L189" i="11" s="1"/>
  <c r="M191" i="11"/>
  <c r="M189" i="11" s="1"/>
  <c r="N191" i="11"/>
  <c r="O193" i="11"/>
  <c r="P193" i="11"/>
  <c r="L194" i="11"/>
  <c r="L192" i="11" s="1"/>
  <c r="O192" i="11" s="1"/>
  <c r="M194" i="11"/>
  <c r="P194" i="11" s="1"/>
  <c r="N194" i="11"/>
  <c r="N192" i="11" s="1"/>
  <c r="J195" i="11"/>
  <c r="L196" i="11"/>
  <c r="O196" i="11" s="1"/>
  <c r="P196" i="11"/>
  <c r="I198" i="11"/>
  <c r="I195" i="11" s="1"/>
  <c r="J199" i="11"/>
  <c r="J202" i="11"/>
  <c r="N203" i="11"/>
  <c r="P203" i="11"/>
  <c r="L204" i="11"/>
  <c r="L205" i="11"/>
  <c r="L206" i="11"/>
  <c r="L207" i="11"/>
  <c r="I209" i="11"/>
  <c r="K209" i="11" s="1"/>
  <c r="I211" i="11"/>
  <c r="K211" i="11" s="1"/>
  <c r="I212" i="11"/>
  <c r="K212" i="11" s="1"/>
  <c r="J213" i="11"/>
  <c r="N214" i="11"/>
  <c r="P214" i="11"/>
  <c r="L215" i="11"/>
  <c r="L216" i="11"/>
  <c r="L217" i="1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K229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51" i="11"/>
  <c r="K252" i="11"/>
  <c r="J253" i="11"/>
  <c r="J231" i="11" s="1"/>
  <c r="J185" i="11" s="1"/>
  <c r="N254" i="11"/>
  <c r="N232" i="11" s="1"/>
  <c r="P254" i="11"/>
  <c r="L255" i="11"/>
  <c r="L256" i="11"/>
  <c r="L257" i="11"/>
  <c r="L258" i="11"/>
  <c r="I260" i="11"/>
  <c r="I253" i="11" s="1"/>
  <c r="K253" i="11" s="1"/>
  <c r="K262" i="11"/>
  <c r="K263" i="11"/>
  <c r="I265" i="11"/>
  <c r="K265" i="11" s="1"/>
  <c r="J265" i="11"/>
  <c r="L267" i="11"/>
  <c r="O267" i="11" s="1"/>
  <c r="M267" i="11"/>
  <c r="P267" i="11" s="1"/>
  <c r="N267" i="11"/>
  <c r="O270" i="11"/>
  <c r="P270" i="11"/>
  <c r="L271" i="11"/>
  <c r="O271" i="11" s="1"/>
  <c r="M271" i="11"/>
  <c r="M269" i="11" s="1"/>
  <c r="P269" i="11" s="1"/>
  <c r="N271" i="11"/>
  <c r="N269" i="11" s="1"/>
  <c r="O273" i="11"/>
  <c r="P273" i="11"/>
  <c r="L274" i="11"/>
  <c r="L272" i="11" s="1"/>
  <c r="O272" i="11" s="1"/>
  <c r="M274" i="11"/>
  <c r="M272" i="11" s="1"/>
  <c r="P272" i="11" s="1"/>
  <c r="N274" i="11"/>
  <c r="N272" i="11" s="1"/>
  <c r="J280" i="11"/>
  <c r="J281" i="11"/>
  <c r="L283" i="11"/>
  <c r="O283" i="11" s="1"/>
  <c r="M283" i="11"/>
  <c r="N283" i="11"/>
  <c r="O286" i="11"/>
  <c r="P286" i="11"/>
  <c r="L287" i="11"/>
  <c r="L285" i="11" s="1"/>
  <c r="O285" i="11" s="1"/>
  <c r="M287" i="11"/>
  <c r="P287" i="11" s="1"/>
  <c r="N287" i="11"/>
  <c r="N285" i="11" s="1"/>
  <c r="O289" i="11"/>
  <c r="P289" i="11"/>
  <c r="L290" i="11"/>
  <c r="L288" i="11" s="1"/>
  <c r="O288" i="11" s="1"/>
  <c r="M290" i="11"/>
  <c r="P290" i="11" s="1"/>
  <c r="N290" i="11"/>
  <c r="N288" i="11" s="1"/>
  <c r="I292" i="11"/>
  <c r="I281" i="11" s="1"/>
  <c r="K281" i="11" s="1"/>
  <c r="I293" i="11"/>
  <c r="I280" i="11" s="1"/>
  <c r="K280" i="11" s="1"/>
  <c r="J293" i="11"/>
  <c r="I295" i="11"/>
  <c r="K295" i="11" s="1"/>
  <c r="I296" i="11"/>
  <c r="K296" i="11" s="1"/>
  <c r="J302" i="11"/>
  <c r="L304" i="11"/>
  <c r="M304" i="11"/>
  <c r="P304" i="11" s="1"/>
  <c r="N304" i="11"/>
  <c r="O304" i="11"/>
  <c r="O307" i="11"/>
  <c r="P307" i="11"/>
  <c r="L308" i="11"/>
  <c r="M308" i="11"/>
  <c r="M306" i="11" s="1"/>
  <c r="P306" i="11" s="1"/>
  <c r="N308" i="11"/>
  <c r="N306" i="11" s="1"/>
  <c r="O310" i="11"/>
  <c r="P310" i="11"/>
  <c r="L311" i="11"/>
  <c r="L309" i="11" s="1"/>
  <c r="O309" i="11" s="1"/>
  <c r="M311" i="11"/>
  <c r="M309" i="11" s="1"/>
  <c r="P309" i="11" s="1"/>
  <c r="N311" i="11"/>
  <c r="N309" i="11" s="1"/>
  <c r="I314" i="11"/>
  <c r="K314" i="11" s="1"/>
  <c r="I315" i="11"/>
  <c r="K315" i="11" s="1"/>
  <c r="I316" i="11"/>
  <c r="K316" i="11" s="1"/>
  <c r="I317" i="11"/>
  <c r="K317" i="11" s="1"/>
  <c r="J319" i="11"/>
  <c r="L321" i="11"/>
  <c r="M321" i="11"/>
  <c r="P321" i="11" s="1"/>
  <c r="N321" i="11"/>
  <c r="O324" i="11"/>
  <c r="P324" i="11"/>
  <c r="L325" i="11"/>
  <c r="L323" i="11" s="1"/>
  <c r="O323" i="11" s="1"/>
  <c r="M325" i="11"/>
  <c r="P325" i="11" s="1"/>
  <c r="N325" i="11"/>
  <c r="N323" i="11" s="1"/>
  <c r="O327" i="11"/>
  <c r="P327" i="11"/>
  <c r="L328" i="11"/>
  <c r="L326" i="11" s="1"/>
  <c r="O326" i="11" s="1"/>
  <c r="M328" i="11"/>
  <c r="M326" i="11" s="1"/>
  <c r="P326" i="11" s="1"/>
  <c r="N328" i="11"/>
  <c r="N326" i="11" s="1"/>
  <c r="I330" i="11"/>
  <c r="I319" i="11" s="1"/>
  <c r="K319" i="11" s="1"/>
  <c r="L334" i="11"/>
  <c r="O334" i="11" s="1"/>
  <c r="M334" i="11"/>
  <c r="N334" i="11"/>
  <c r="P334" i="11"/>
  <c r="O337" i="11"/>
  <c r="P337" i="11"/>
  <c r="L338" i="11"/>
  <c r="M338" i="11"/>
  <c r="M336" i="11" s="1"/>
  <c r="N338" i="11"/>
  <c r="N336" i="11" s="1"/>
  <c r="O340" i="11"/>
  <c r="P340" i="11"/>
  <c r="L341" i="11"/>
  <c r="M341" i="11"/>
  <c r="M339" i="11" s="1"/>
  <c r="P339" i="11" s="1"/>
  <c r="N341" i="11"/>
  <c r="N339" i="11" s="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M357" i="11"/>
  <c r="P357" i="11" s="1"/>
  <c r="N357" i="11"/>
  <c r="O357" i="11"/>
  <c r="O360" i="11"/>
  <c r="P360" i="11"/>
  <c r="L361" i="11"/>
  <c r="M361" i="11"/>
  <c r="N361" i="11"/>
  <c r="N359" i="11" s="1"/>
  <c r="O363" i="11"/>
  <c r="P363" i="11"/>
  <c r="L364" i="11"/>
  <c r="O364" i="11" s="1"/>
  <c r="M364" i="11"/>
  <c r="M362" i="11" s="1"/>
  <c r="P362" i="11" s="1"/>
  <c r="N364" i="11"/>
  <c r="N362" i="11" s="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I376" i="11"/>
  <c r="K376" i="11" s="1"/>
  <c r="J376" i="11"/>
  <c r="L378" i="11"/>
  <c r="O378" i="11" s="1"/>
  <c r="M378" i="11"/>
  <c r="N378" i="11"/>
  <c r="P378" i="11"/>
  <c r="O381" i="11"/>
  <c r="P381" i="11"/>
  <c r="L382" i="11"/>
  <c r="L380" i="11" s="1"/>
  <c r="O380" i="11" s="1"/>
  <c r="M382" i="11"/>
  <c r="M380" i="11" s="1"/>
  <c r="P380" i="11" s="1"/>
  <c r="N382" i="11"/>
  <c r="N380" i="11" s="1"/>
  <c r="O384" i="11"/>
  <c r="P384" i="11"/>
  <c r="L385" i="11"/>
  <c r="L383" i="11" s="1"/>
  <c r="O383" i="11" s="1"/>
  <c r="M385" i="11"/>
  <c r="M383" i="11" s="1"/>
  <c r="P383" i="11" s="1"/>
  <c r="N385" i="11"/>
  <c r="N383" i="11" s="1"/>
  <c r="K387" i="11"/>
  <c r="K388" i="11"/>
  <c r="A391" i="11"/>
  <c r="L22" i="10"/>
  <c r="O22" i="10" s="1"/>
  <c r="M22" i="10"/>
  <c r="N22" i="10"/>
  <c r="L25" i="10"/>
  <c r="M25" i="10"/>
  <c r="P25" i="10" s="1"/>
  <c r="N25" i="10"/>
  <c r="L45" i="10"/>
  <c r="M45" i="10"/>
  <c r="N45" i="10"/>
  <c r="P45" i="10"/>
  <c r="O48" i="10"/>
  <c r="P48" i="10"/>
  <c r="L49" i="10"/>
  <c r="M49" i="10"/>
  <c r="M47" i="10" s="1"/>
  <c r="N49" i="10"/>
  <c r="N47" i="10" s="1"/>
  <c r="O51" i="10"/>
  <c r="P51" i="10"/>
  <c r="L52" i="10"/>
  <c r="L50" i="10" s="1"/>
  <c r="O50" i="10" s="1"/>
  <c r="M52" i="10"/>
  <c r="M50" i="10" s="1"/>
  <c r="P50" i="10" s="1"/>
  <c r="N52" i="10"/>
  <c r="N50" i="10" s="1"/>
  <c r="L60" i="10"/>
  <c r="M60" i="10"/>
  <c r="N60" i="10"/>
  <c r="O60" i="10"/>
  <c r="O63" i="10"/>
  <c r="P63" i="10"/>
  <c r="L64" i="10"/>
  <c r="M64" i="10"/>
  <c r="N64" i="10"/>
  <c r="O66" i="10"/>
  <c r="P66" i="10"/>
  <c r="L67" i="10"/>
  <c r="O67" i="10" s="1"/>
  <c r="M67" i="10"/>
  <c r="M65" i="10" s="1"/>
  <c r="P65" i="10" s="1"/>
  <c r="N67" i="10"/>
  <c r="N65" i="10" s="1"/>
  <c r="L73" i="10"/>
  <c r="M73" i="10"/>
  <c r="P73" i="10" s="1"/>
  <c r="N73" i="10"/>
  <c r="O76" i="10"/>
  <c r="P76" i="10"/>
  <c r="L77" i="10"/>
  <c r="M77" i="10"/>
  <c r="N77" i="10"/>
  <c r="O79" i="10"/>
  <c r="P79" i="10"/>
  <c r="L80" i="10"/>
  <c r="L78" i="10" s="1"/>
  <c r="O78" i="10" s="1"/>
  <c r="M80" i="10"/>
  <c r="N80" i="10"/>
  <c r="N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O95" i="10" s="1"/>
  <c r="M95" i="10"/>
  <c r="P95" i="10" s="1"/>
  <c r="N95" i="10"/>
  <c r="O98" i="10"/>
  <c r="P98" i="10"/>
  <c r="L99" i="10"/>
  <c r="L97" i="10" s="1"/>
  <c r="O97" i="10" s="1"/>
  <c r="M99" i="10"/>
  <c r="M97" i="10" s="1"/>
  <c r="P97" i="10" s="1"/>
  <c r="N99" i="10"/>
  <c r="N97" i="10" s="1"/>
  <c r="O101" i="10"/>
  <c r="P101" i="10"/>
  <c r="L102" i="10"/>
  <c r="L100" i="10" s="1"/>
  <c r="O100" i="10" s="1"/>
  <c r="M102" i="10"/>
  <c r="M100" i="10" s="1"/>
  <c r="P100" i="10" s="1"/>
  <c r="N102" i="10"/>
  <c r="N100" i="10" s="1"/>
  <c r="I108" i="10"/>
  <c r="I92" i="10" s="1"/>
  <c r="K92" i="10" s="1"/>
  <c r="I109" i="10"/>
  <c r="I93" i="10" s="1"/>
  <c r="K93" i="10" s="1"/>
  <c r="I117" i="10"/>
  <c r="K117" i="10" s="1"/>
  <c r="L126" i="10"/>
  <c r="M126" i="10"/>
  <c r="P126" i="10" s="1"/>
  <c r="N126" i="10"/>
  <c r="O129" i="10"/>
  <c r="P129" i="10"/>
  <c r="L130" i="10"/>
  <c r="L128" i="10" s="1"/>
  <c r="O128" i="10" s="1"/>
  <c r="M130" i="10"/>
  <c r="P130" i="10" s="1"/>
  <c r="N130" i="10"/>
  <c r="N128" i="10" s="1"/>
  <c r="O132" i="10"/>
  <c r="P132" i="10"/>
  <c r="L133" i="10"/>
  <c r="O133" i="10" s="1"/>
  <c r="M133" i="10"/>
  <c r="P133" i="10" s="1"/>
  <c r="N133" i="10"/>
  <c r="N131" i="10" s="1"/>
  <c r="J136" i="10"/>
  <c r="J137" i="10"/>
  <c r="J138" i="10"/>
  <c r="L140" i="10"/>
  <c r="M140" i="10"/>
  <c r="P140" i="10" s="1"/>
  <c r="N140" i="10"/>
  <c r="O143" i="10"/>
  <c r="P143" i="10"/>
  <c r="L144" i="10"/>
  <c r="L142" i="10" s="1"/>
  <c r="O142" i="10" s="1"/>
  <c r="M144" i="10"/>
  <c r="P144" i="10" s="1"/>
  <c r="N144" i="10"/>
  <c r="N142" i="10" s="1"/>
  <c r="O146" i="10"/>
  <c r="P146" i="10"/>
  <c r="L147" i="10"/>
  <c r="O147" i="10" s="1"/>
  <c r="M147" i="10"/>
  <c r="P147" i="10" s="1"/>
  <c r="N147" i="10"/>
  <c r="N145" i="10" s="1"/>
  <c r="I150" i="10"/>
  <c r="K150" i="10" s="1"/>
  <c r="I151" i="10"/>
  <c r="K151" i="10" s="1"/>
  <c r="I152" i="10"/>
  <c r="I153" i="10"/>
  <c r="I138" i="10" s="1"/>
  <c r="K138" i="10" s="1"/>
  <c r="I154" i="10"/>
  <c r="K154" i="10" s="1"/>
  <c r="J156" i="10"/>
  <c r="L158" i="10"/>
  <c r="O158" i="10" s="1"/>
  <c r="M158" i="10"/>
  <c r="P158" i="10" s="1"/>
  <c r="N158" i="10"/>
  <c r="O161" i="10"/>
  <c r="P161" i="10"/>
  <c r="L162" i="10"/>
  <c r="L160" i="10" s="1"/>
  <c r="O160" i="10" s="1"/>
  <c r="M162" i="10"/>
  <c r="N162" i="10"/>
  <c r="N160" i="10" s="1"/>
  <c r="O164" i="10"/>
  <c r="P164" i="10"/>
  <c r="L165" i="10"/>
  <c r="L163" i="10" s="1"/>
  <c r="O163" i="10" s="1"/>
  <c r="M165" i="10"/>
  <c r="N165" i="10"/>
  <c r="N163" i="10" s="1"/>
  <c r="I167" i="10"/>
  <c r="K167" i="10" s="1"/>
  <c r="I168" i="10"/>
  <c r="K168" i="10" s="1"/>
  <c r="I169" i="10"/>
  <c r="K169" i="10" s="1"/>
  <c r="J172" i="10"/>
  <c r="L174" i="10"/>
  <c r="O174" i="10" s="1"/>
  <c r="M174" i="10"/>
  <c r="N174" i="10"/>
  <c r="P174" i="10"/>
  <c r="O177" i="10"/>
  <c r="P177" i="10"/>
  <c r="L178" i="10"/>
  <c r="L176" i="10" s="1"/>
  <c r="M178" i="10"/>
  <c r="N178" i="10"/>
  <c r="N176" i="10" s="1"/>
  <c r="O180" i="10"/>
  <c r="P180" i="10"/>
  <c r="L181" i="10"/>
  <c r="L179" i="10" s="1"/>
  <c r="O179" i="10" s="1"/>
  <c r="M181" i="10"/>
  <c r="N181" i="10"/>
  <c r="N179" i="10" s="1"/>
  <c r="I183" i="10"/>
  <c r="K183" i="10" s="1"/>
  <c r="K184" i="10"/>
  <c r="L187" i="10"/>
  <c r="O187" i="10" s="1"/>
  <c r="M187" i="10"/>
  <c r="N187" i="10"/>
  <c r="O190" i="10"/>
  <c r="P190" i="10"/>
  <c r="L191" i="10"/>
  <c r="M191" i="10"/>
  <c r="M189" i="10" s="1"/>
  <c r="N191" i="10"/>
  <c r="N189" i="10" s="1"/>
  <c r="O193" i="10"/>
  <c r="P193" i="10"/>
  <c r="L194" i="10"/>
  <c r="O194" i="10" s="1"/>
  <c r="M194" i="10"/>
  <c r="M192" i="10" s="1"/>
  <c r="P192" i="10" s="1"/>
  <c r="N194" i="10"/>
  <c r="N192" i="10" s="1"/>
  <c r="J195" i="10"/>
  <c r="L196" i="10"/>
  <c r="O196" i="10" s="1"/>
  <c r="P196" i="10"/>
  <c r="I198" i="10"/>
  <c r="I195" i="10" s="1"/>
  <c r="J199" i="10"/>
  <c r="J202" i="10"/>
  <c r="N203" i="10"/>
  <c r="P203" i="10"/>
  <c r="L204" i="10"/>
  <c r="L205" i="10"/>
  <c r="L206" i="10"/>
  <c r="L207" i="10"/>
  <c r="I209" i="10"/>
  <c r="I202" i="10" s="1"/>
  <c r="I211" i="10"/>
  <c r="K211" i="10" s="1"/>
  <c r="I212" i="10"/>
  <c r="K212" i="10" s="1"/>
  <c r="J213" i="10"/>
  <c r="N214" i="10"/>
  <c r="P214" i="10"/>
  <c r="L215" i="10"/>
  <c r="L216" i="10"/>
  <c r="L217" i="10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J240" i="10"/>
  <c r="J241" i="10"/>
  <c r="J242" i="10"/>
  <c r="N243" i="10"/>
  <c r="N232" i="10" s="1"/>
  <c r="P243" i="10"/>
  <c r="L244" i="10"/>
  <c r="L245" i="10"/>
  <c r="L246" i="10"/>
  <c r="L247" i="10"/>
  <c r="I249" i="10"/>
  <c r="I242" i="10" s="1"/>
  <c r="I251" i="10"/>
  <c r="K251" i="10" s="1"/>
  <c r="I252" i="10"/>
  <c r="I241" i="10" s="1"/>
  <c r="K241" i="10" s="1"/>
  <c r="J253" i="10"/>
  <c r="J231" i="10" s="1"/>
  <c r="J185" i="10" s="1"/>
  <c r="N254" i="10"/>
  <c r="P254" i="10"/>
  <c r="L255" i="10"/>
  <c r="L256" i="10"/>
  <c r="L257" i="10"/>
  <c r="L258" i="10"/>
  <c r="I260" i="10"/>
  <c r="I253" i="10" s="1"/>
  <c r="K253" i="10" s="1"/>
  <c r="K262" i="10"/>
  <c r="K263" i="10"/>
  <c r="I265" i="10"/>
  <c r="J265" i="10"/>
  <c r="K265" i="10"/>
  <c r="L267" i="10"/>
  <c r="M267" i="10"/>
  <c r="P267" i="10" s="1"/>
  <c r="N267" i="10"/>
  <c r="O267" i="10"/>
  <c r="O270" i="10"/>
  <c r="P270" i="10"/>
  <c r="L271" i="10"/>
  <c r="L269" i="10" s="1"/>
  <c r="O269" i="10" s="1"/>
  <c r="M271" i="10"/>
  <c r="P271" i="10" s="1"/>
  <c r="N271" i="10"/>
  <c r="O273" i="10"/>
  <c r="P273" i="10"/>
  <c r="L274" i="10"/>
  <c r="L272" i="10" s="1"/>
  <c r="O272" i="10" s="1"/>
  <c r="M274" i="10"/>
  <c r="P274" i="10" s="1"/>
  <c r="N274" i="10"/>
  <c r="N272" i="10" s="1"/>
  <c r="J280" i="10"/>
  <c r="J281" i="10"/>
  <c r="L283" i="10"/>
  <c r="M283" i="10"/>
  <c r="N283" i="10"/>
  <c r="P283" i="10"/>
  <c r="O286" i="10"/>
  <c r="P286" i="10"/>
  <c r="L287" i="10"/>
  <c r="L285" i="10" s="1"/>
  <c r="O285" i="10" s="1"/>
  <c r="M287" i="10"/>
  <c r="M285" i="10" s="1"/>
  <c r="P285" i="10" s="1"/>
  <c r="N287" i="10"/>
  <c r="O289" i="10"/>
  <c r="P289" i="10"/>
  <c r="L290" i="10"/>
  <c r="L288" i="10" s="1"/>
  <c r="O288" i="10" s="1"/>
  <c r="M290" i="10"/>
  <c r="M288" i="10" s="1"/>
  <c r="P288" i="10" s="1"/>
  <c r="N290" i="10"/>
  <c r="N288" i="10" s="1"/>
  <c r="I292" i="10"/>
  <c r="K292" i="10" s="1"/>
  <c r="I293" i="10"/>
  <c r="I280" i="10" s="1"/>
  <c r="K280" i="10" s="1"/>
  <c r="J293" i="10"/>
  <c r="I295" i="10"/>
  <c r="K295" i="10" s="1"/>
  <c r="I296" i="10"/>
  <c r="K296" i="10" s="1"/>
  <c r="J302" i="10"/>
  <c r="L304" i="10"/>
  <c r="O304" i="10" s="1"/>
  <c r="M304" i="10"/>
  <c r="P304" i="10" s="1"/>
  <c r="N304" i="10"/>
  <c r="O307" i="10"/>
  <c r="P307" i="10"/>
  <c r="L308" i="10"/>
  <c r="L306" i="10" s="1"/>
  <c r="O306" i="10" s="1"/>
  <c r="M308" i="10"/>
  <c r="M306" i="10" s="1"/>
  <c r="P306" i="10" s="1"/>
  <c r="N308" i="10"/>
  <c r="N306" i="10" s="1"/>
  <c r="O310" i="10"/>
  <c r="P310" i="10"/>
  <c r="L311" i="10"/>
  <c r="L309" i="10" s="1"/>
  <c r="O309" i="10" s="1"/>
  <c r="M311" i="10"/>
  <c r="N311" i="10"/>
  <c r="N309" i="10" s="1"/>
  <c r="I314" i="10"/>
  <c r="I302" i="10" s="1"/>
  <c r="K302" i="10" s="1"/>
  <c r="I315" i="10"/>
  <c r="K315" i="10" s="1"/>
  <c r="I316" i="10"/>
  <c r="K316" i="10" s="1"/>
  <c r="I317" i="10"/>
  <c r="K317" i="10" s="1"/>
  <c r="J319" i="10"/>
  <c r="L321" i="10"/>
  <c r="M321" i="10"/>
  <c r="N321" i="10"/>
  <c r="O321" i="10"/>
  <c r="P321" i="10"/>
  <c r="O324" i="10"/>
  <c r="P324" i="10"/>
  <c r="L325" i="10"/>
  <c r="O325" i="10" s="1"/>
  <c r="M325" i="10"/>
  <c r="N325" i="10"/>
  <c r="O327" i="10"/>
  <c r="P327" i="10"/>
  <c r="L328" i="10"/>
  <c r="O328" i="10" s="1"/>
  <c r="M328" i="10"/>
  <c r="M326" i="10" s="1"/>
  <c r="P326" i="10" s="1"/>
  <c r="N328" i="10"/>
  <c r="N326" i="10" s="1"/>
  <c r="I330" i="10"/>
  <c r="K330" i="10" s="1"/>
  <c r="L334" i="10"/>
  <c r="M334" i="10"/>
  <c r="P334" i="10" s="1"/>
  <c r="N334" i="10"/>
  <c r="O334" i="10"/>
  <c r="O337" i="10"/>
  <c r="P337" i="10"/>
  <c r="L338" i="10"/>
  <c r="M338" i="10"/>
  <c r="N338" i="10"/>
  <c r="N336" i="10" s="1"/>
  <c r="O340" i="10"/>
  <c r="P340" i="10"/>
  <c r="L341" i="10"/>
  <c r="L339" i="10" s="1"/>
  <c r="O339" i="10" s="1"/>
  <c r="M341" i="10"/>
  <c r="M339" i="10" s="1"/>
  <c r="P339" i="10" s="1"/>
  <c r="N341" i="10"/>
  <c r="N339" i="10" s="1"/>
  <c r="I344" i="10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P357" i="10" s="1"/>
  <c r="N357" i="10"/>
  <c r="O360" i="10"/>
  <c r="P360" i="10"/>
  <c r="L361" i="10"/>
  <c r="L359" i="10" s="1"/>
  <c r="M361" i="10"/>
  <c r="M359" i="10" s="1"/>
  <c r="N361" i="10"/>
  <c r="N359" i="10" s="1"/>
  <c r="O363" i="10"/>
  <c r="P363" i="10"/>
  <c r="L364" i="10"/>
  <c r="L362" i="10" s="1"/>
  <c r="O362" i="10" s="1"/>
  <c r="M364" i="10"/>
  <c r="M362" i="10" s="1"/>
  <c r="P362" i="10" s="1"/>
  <c r="N364" i="10"/>
  <c r="N362" i="10" s="1"/>
  <c r="J367" i="10"/>
  <c r="K367" i="10"/>
  <c r="I368" i="10"/>
  <c r="K368" i="10" s="1"/>
  <c r="J368" i="10"/>
  <c r="I369" i="10"/>
  <c r="K369" i="10" s="1"/>
  <c r="J369" i="10"/>
  <c r="J370" i="10"/>
  <c r="K370" i="10"/>
  <c r="I371" i="10"/>
  <c r="K371" i="10" s="1"/>
  <c r="J371" i="10"/>
  <c r="J365" i="10" s="1"/>
  <c r="J372" i="10"/>
  <c r="K372" i="10"/>
  <c r="D373" i="10"/>
  <c r="I376" i="10"/>
  <c r="J376" i="10"/>
  <c r="K376" i="10"/>
  <c r="L378" i="10"/>
  <c r="O378" i="10" s="1"/>
  <c r="M378" i="10"/>
  <c r="P378" i="10" s="1"/>
  <c r="N378" i="10"/>
  <c r="O381" i="10"/>
  <c r="P381" i="10"/>
  <c r="L382" i="10"/>
  <c r="L380" i="10" s="1"/>
  <c r="O380" i="10" s="1"/>
  <c r="M382" i="10"/>
  <c r="M380" i="10" s="1"/>
  <c r="P380" i="10" s="1"/>
  <c r="N382" i="10"/>
  <c r="N380" i="10" s="1"/>
  <c r="O384" i="10"/>
  <c r="P384" i="10"/>
  <c r="L385" i="10"/>
  <c r="L383" i="10" s="1"/>
  <c r="O383" i="10" s="1"/>
  <c r="M385" i="10"/>
  <c r="M383" i="10" s="1"/>
  <c r="P383" i="10" s="1"/>
  <c r="N385" i="10"/>
  <c r="N383" i="10" s="1"/>
  <c r="K387" i="10"/>
  <c r="K388" i="10"/>
  <c r="A391" i="10"/>
  <c r="L22" i="9"/>
  <c r="L19" i="9" s="1"/>
  <c r="M22" i="9"/>
  <c r="N22" i="9"/>
  <c r="P22" i="9"/>
  <c r="L25" i="9"/>
  <c r="M25" i="9"/>
  <c r="P25" i="9" s="1"/>
  <c r="N25" i="9"/>
  <c r="L45" i="9"/>
  <c r="O45" i="9" s="1"/>
  <c r="M45" i="9"/>
  <c r="N45" i="9"/>
  <c r="P45" i="9"/>
  <c r="O48" i="9"/>
  <c r="P48" i="9"/>
  <c r="L49" i="9"/>
  <c r="M49" i="9"/>
  <c r="N49" i="9"/>
  <c r="N47" i="9" s="1"/>
  <c r="O51" i="9"/>
  <c r="P51" i="9"/>
  <c r="L52" i="9"/>
  <c r="M52" i="9"/>
  <c r="P52" i="9" s="1"/>
  <c r="N52" i="9"/>
  <c r="L60" i="9"/>
  <c r="M60" i="9"/>
  <c r="N60" i="9"/>
  <c r="O60" i="9"/>
  <c r="O63" i="9"/>
  <c r="P63" i="9"/>
  <c r="L64" i="9"/>
  <c r="L62" i="9" s="1"/>
  <c r="M64" i="9"/>
  <c r="N64" i="9"/>
  <c r="N62" i="9" s="1"/>
  <c r="O66" i="9"/>
  <c r="P66" i="9"/>
  <c r="L67" i="9"/>
  <c r="L65" i="9" s="1"/>
  <c r="O65" i="9" s="1"/>
  <c r="M67" i="9"/>
  <c r="M65" i="9" s="1"/>
  <c r="P65" i="9" s="1"/>
  <c r="N67" i="9"/>
  <c r="N65" i="9" s="1"/>
  <c r="L73" i="9"/>
  <c r="O73" i="9" s="1"/>
  <c r="M73" i="9"/>
  <c r="N73" i="9"/>
  <c r="O76" i="9"/>
  <c r="P76" i="9"/>
  <c r="L77" i="9"/>
  <c r="L75" i="9" s="1"/>
  <c r="O75" i="9" s="1"/>
  <c r="M77" i="9"/>
  <c r="P77" i="9" s="1"/>
  <c r="N77" i="9"/>
  <c r="N75" i="9" s="1"/>
  <c r="O79" i="9"/>
  <c r="P79" i="9"/>
  <c r="L80" i="9"/>
  <c r="O80" i="9" s="1"/>
  <c r="M80" i="9"/>
  <c r="P80" i="9" s="1"/>
  <c r="N80" i="9"/>
  <c r="N78" i="9" s="1"/>
  <c r="J82" i="9"/>
  <c r="J70" i="9" s="1"/>
  <c r="J83" i="9"/>
  <c r="J71" i="9" s="1"/>
  <c r="I84" i="9"/>
  <c r="K84" i="9" s="1"/>
  <c r="I85" i="9"/>
  <c r="K85" i="9" s="1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O95" i="9" s="1"/>
  <c r="M95" i="9"/>
  <c r="P95" i="9" s="1"/>
  <c r="N95" i="9"/>
  <c r="O98" i="9"/>
  <c r="P98" i="9"/>
  <c r="L99" i="9"/>
  <c r="L97" i="9" s="1"/>
  <c r="O97" i="9" s="1"/>
  <c r="M99" i="9"/>
  <c r="M97" i="9" s="1"/>
  <c r="P97" i="9" s="1"/>
  <c r="N99" i="9"/>
  <c r="O101" i="9"/>
  <c r="P101" i="9"/>
  <c r="L102" i="9"/>
  <c r="L100" i="9" s="1"/>
  <c r="O100" i="9" s="1"/>
  <c r="M102" i="9"/>
  <c r="P102" i="9" s="1"/>
  <c r="N102" i="9"/>
  <c r="N100" i="9" s="1"/>
  <c r="I108" i="9"/>
  <c r="I92" i="9" s="1"/>
  <c r="K92" i="9" s="1"/>
  <c r="I109" i="9"/>
  <c r="I93" i="9" s="1"/>
  <c r="K93" i="9" s="1"/>
  <c r="I117" i="9"/>
  <c r="K117" i="9" s="1"/>
  <c r="L126" i="9"/>
  <c r="M126" i="9"/>
  <c r="N126" i="9"/>
  <c r="P126" i="9"/>
  <c r="O129" i="9"/>
  <c r="P129" i="9"/>
  <c r="L130" i="9"/>
  <c r="L128" i="9" s="1"/>
  <c r="O128" i="9" s="1"/>
  <c r="M130" i="9"/>
  <c r="M128" i="9" s="1"/>
  <c r="P128" i="9" s="1"/>
  <c r="N130" i="9"/>
  <c r="N128" i="9" s="1"/>
  <c r="O132" i="9"/>
  <c r="P132" i="9"/>
  <c r="L133" i="9"/>
  <c r="L131" i="9" s="1"/>
  <c r="O131" i="9" s="1"/>
  <c r="M133" i="9"/>
  <c r="M131" i="9" s="1"/>
  <c r="P131" i="9" s="1"/>
  <c r="N133" i="9"/>
  <c r="N131" i="9" s="1"/>
  <c r="J136" i="9"/>
  <c r="J137" i="9"/>
  <c r="J138" i="9"/>
  <c r="L140" i="9"/>
  <c r="O140" i="9" s="1"/>
  <c r="M140" i="9"/>
  <c r="N140" i="9"/>
  <c r="P140" i="9"/>
  <c r="O143" i="9"/>
  <c r="P143" i="9"/>
  <c r="L144" i="9"/>
  <c r="L142" i="9" s="1"/>
  <c r="O142" i="9" s="1"/>
  <c r="M144" i="9"/>
  <c r="M142" i="9" s="1"/>
  <c r="P142" i="9" s="1"/>
  <c r="N144" i="9"/>
  <c r="O146" i="9"/>
  <c r="P146" i="9"/>
  <c r="L147" i="9"/>
  <c r="L145" i="9" s="1"/>
  <c r="O145" i="9" s="1"/>
  <c r="M147" i="9"/>
  <c r="M145" i="9" s="1"/>
  <c r="P145" i="9" s="1"/>
  <c r="N147" i="9"/>
  <c r="N145" i="9" s="1"/>
  <c r="I150" i="9"/>
  <c r="K150" i="9" s="1"/>
  <c r="I151" i="9"/>
  <c r="K151" i="9" s="1"/>
  <c r="I152" i="9"/>
  <c r="I137" i="9" s="1"/>
  <c r="K137" i="9" s="1"/>
  <c r="I153" i="9"/>
  <c r="I138" i="9" s="1"/>
  <c r="K138" i="9" s="1"/>
  <c r="I154" i="9"/>
  <c r="K154" i="9" s="1"/>
  <c r="J156" i="9"/>
  <c r="L158" i="9"/>
  <c r="O158" i="9" s="1"/>
  <c r="M158" i="9"/>
  <c r="N158" i="9"/>
  <c r="O161" i="9"/>
  <c r="P161" i="9"/>
  <c r="L162" i="9"/>
  <c r="L160" i="9" s="1"/>
  <c r="O160" i="9" s="1"/>
  <c r="M162" i="9"/>
  <c r="P162" i="9" s="1"/>
  <c r="N162" i="9"/>
  <c r="N160" i="9" s="1"/>
  <c r="O164" i="9"/>
  <c r="P164" i="9"/>
  <c r="L165" i="9"/>
  <c r="O165" i="9" s="1"/>
  <c r="M165" i="9"/>
  <c r="P165" i="9" s="1"/>
  <c r="N165" i="9"/>
  <c r="N163" i="9" s="1"/>
  <c r="I167" i="9"/>
  <c r="K167" i="9" s="1"/>
  <c r="I168" i="9"/>
  <c r="K168" i="9" s="1"/>
  <c r="I169" i="9"/>
  <c r="K169" i="9" s="1"/>
  <c r="J172" i="9"/>
  <c r="L174" i="9"/>
  <c r="O174" i="9" s="1"/>
  <c r="M174" i="9"/>
  <c r="N174" i="9"/>
  <c r="O177" i="9"/>
  <c r="P177" i="9"/>
  <c r="L178" i="9"/>
  <c r="M178" i="9"/>
  <c r="N178" i="9"/>
  <c r="N176" i="9" s="1"/>
  <c r="O180" i="9"/>
  <c r="P180" i="9"/>
  <c r="L181" i="9"/>
  <c r="M181" i="9"/>
  <c r="P181" i="9" s="1"/>
  <c r="N181" i="9"/>
  <c r="N179" i="9" s="1"/>
  <c r="I183" i="9"/>
  <c r="I172" i="9" s="1"/>
  <c r="K172" i="9" s="1"/>
  <c r="K184" i="9"/>
  <c r="L187" i="9"/>
  <c r="O187" i="9" s="1"/>
  <c r="M187" i="9"/>
  <c r="N187" i="9"/>
  <c r="P187" i="9"/>
  <c r="O190" i="9"/>
  <c r="P190" i="9"/>
  <c r="L191" i="9"/>
  <c r="L189" i="9" s="1"/>
  <c r="M191" i="9"/>
  <c r="M189" i="9" s="1"/>
  <c r="N191" i="9"/>
  <c r="N189" i="9" s="1"/>
  <c r="O193" i="9"/>
  <c r="P193" i="9"/>
  <c r="L194" i="9"/>
  <c r="M194" i="9"/>
  <c r="N194" i="9"/>
  <c r="N192" i="9" s="1"/>
  <c r="J195" i="9"/>
  <c r="L196" i="9"/>
  <c r="O196" i="9" s="1"/>
  <c r="P196" i="9"/>
  <c r="I198" i="9"/>
  <c r="I195" i="9" s="1"/>
  <c r="J199" i="9"/>
  <c r="J202" i="9"/>
  <c r="N203" i="9"/>
  <c r="P203" i="9"/>
  <c r="L204" i="9"/>
  <c r="L205" i="9"/>
  <c r="L206" i="9"/>
  <c r="I209" i="9"/>
  <c r="K209" i="9" s="1"/>
  <c r="I211" i="9"/>
  <c r="K211" i="9" s="1"/>
  <c r="I212" i="9"/>
  <c r="K212" i="9" s="1"/>
  <c r="J213" i="9"/>
  <c r="N214" i="9"/>
  <c r="P214" i="9"/>
  <c r="L215" i="9"/>
  <c r="L216" i="9"/>
  <c r="L217" i="9"/>
  <c r="I219" i="9"/>
  <c r="K219" i="9" s="1"/>
  <c r="I220" i="9"/>
  <c r="K220" i="9" s="1"/>
  <c r="J221" i="9"/>
  <c r="N222" i="9"/>
  <c r="P222" i="9"/>
  <c r="L223" i="9"/>
  <c r="L224" i="9"/>
  <c r="L225" i="9"/>
  <c r="I228" i="9"/>
  <c r="K228" i="9" s="1"/>
  <c r="I229" i="9"/>
  <c r="K229" i="9" s="1"/>
  <c r="I230" i="9"/>
  <c r="N233" i="9"/>
  <c r="N234" i="9"/>
  <c r="N235" i="9"/>
  <c r="N236" i="9"/>
  <c r="J238" i="9"/>
  <c r="J240" i="9"/>
  <c r="J241" i="9"/>
  <c r="J242" i="9"/>
  <c r="N243" i="9"/>
  <c r="P243" i="9"/>
  <c r="L244" i="9"/>
  <c r="L245" i="9"/>
  <c r="L246" i="9"/>
  <c r="L247" i="9"/>
  <c r="I249" i="9"/>
  <c r="K249" i="9" s="1"/>
  <c r="I251" i="9"/>
  <c r="I240" i="9" s="1"/>
  <c r="K240" i="9" s="1"/>
  <c r="I252" i="9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I265" i="9"/>
  <c r="K265" i="9" s="1"/>
  <c r="J265" i="9"/>
  <c r="L267" i="9"/>
  <c r="O267" i="9" s="1"/>
  <c r="M267" i="9"/>
  <c r="N267" i="9"/>
  <c r="O270" i="9"/>
  <c r="P270" i="9"/>
  <c r="L271" i="9"/>
  <c r="M271" i="9"/>
  <c r="M269" i="9" s="1"/>
  <c r="P269" i="9" s="1"/>
  <c r="N271" i="9"/>
  <c r="O273" i="9"/>
  <c r="P273" i="9"/>
  <c r="L274" i="9"/>
  <c r="L272" i="9" s="1"/>
  <c r="O272" i="9" s="1"/>
  <c r="M274" i="9"/>
  <c r="M272" i="9" s="1"/>
  <c r="P272" i="9" s="1"/>
  <c r="N274" i="9"/>
  <c r="N272" i="9" s="1"/>
  <c r="J281" i="9"/>
  <c r="L283" i="9"/>
  <c r="M283" i="9"/>
  <c r="N283" i="9"/>
  <c r="O283" i="9"/>
  <c r="O286" i="9"/>
  <c r="P286" i="9"/>
  <c r="L287" i="9"/>
  <c r="O287" i="9" s="1"/>
  <c r="M287" i="9"/>
  <c r="M285" i="9" s="1"/>
  <c r="P285" i="9" s="1"/>
  <c r="N287" i="9"/>
  <c r="N285" i="9" s="1"/>
  <c r="O289" i="9"/>
  <c r="P289" i="9"/>
  <c r="L290" i="9"/>
  <c r="O290" i="9" s="1"/>
  <c r="M290" i="9"/>
  <c r="M288" i="9" s="1"/>
  <c r="P288" i="9" s="1"/>
  <c r="N290" i="9"/>
  <c r="N288" i="9" s="1"/>
  <c r="I292" i="9"/>
  <c r="I281" i="9" s="1"/>
  <c r="K281" i="9" s="1"/>
  <c r="I293" i="9"/>
  <c r="J293" i="9"/>
  <c r="J280" i="9" s="1"/>
  <c r="I295" i="9"/>
  <c r="K295" i="9" s="1"/>
  <c r="I296" i="9"/>
  <c r="K296" i="9" s="1"/>
  <c r="J302" i="9"/>
  <c r="L304" i="9"/>
  <c r="O304" i="9" s="1"/>
  <c r="M304" i="9"/>
  <c r="N304" i="9"/>
  <c r="O307" i="9"/>
  <c r="P307" i="9"/>
  <c r="L308" i="9"/>
  <c r="M308" i="9"/>
  <c r="M306" i="9" s="1"/>
  <c r="P306" i="9" s="1"/>
  <c r="N308" i="9"/>
  <c r="O310" i="9"/>
  <c r="P310" i="9"/>
  <c r="L311" i="9"/>
  <c r="L309" i="9" s="1"/>
  <c r="O309" i="9" s="1"/>
  <c r="M311" i="9"/>
  <c r="M309" i="9" s="1"/>
  <c r="P309" i="9" s="1"/>
  <c r="N311" i="9"/>
  <c r="N309" i="9" s="1"/>
  <c r="I314" i="9"/>
  <c r="I315" i="9"/>
  <c r="K315" i="9" s="1"/>
  <c r="I316" i="9"/>
  <c r="K316" i="9" s="1"/>
  <c r="I317" i="9"/>
  <c r="K317" i="9" s="1"/>
  <c r="J319" i="9"/>
  <c r="L321" i="9"/>
  <c r="O321" i="9" s="1"/>
  <c r="M321" i="9"/>
  <c r="N321" i="9"/>
  <c r="P321" i="9"/>
  <c r="O324" i="9"/>
  <c r="P324" i="9"/>
  <c r="L325" i="9"/>
  <c r="L323" i="9" s="1"/>
  <c r="O323" i="9" s="1"/>
  <c r="M325" i="9"/>
  <c r="M323" i="9" s="1"/>
  <c r="P323" i="9" s="1"/>
  <c r="N325" i="9"/>
  <c r="N323" i="9" s="1"/>
  <c r="O327" i="9"/>
  <c r="P327" i="9"/>
  <c r="L328" i="9"/>
  <c r="L326" i="9" s="1"/>
  <c r="O326" i="9" s="1"/>
  <c r="M328" i="9"/>
  <c r="M326" i="9" s="1"/>
  <c r="P326" i="9" s="1"/>
  <c r="N328" i="9"/>
  <c r="N326" i="9" s="1"/>
  <c r="I330" i="9"/>
  <c r="I319" i="9" s="1"/>
  <c r="K319" i="9" s="1"/>
  <c r="L334" i="9"/>
  <c r="M334" i="9"/>
  <c r="N334" i="9"/>
  <c r="O334" i="9"/>
  <c r="O337" i="9"/>
  <c r="P337" i="9"/>
  <c r="L338" i="9"/>
  <c r="M338" i="9"/>
  <c r="M336" i="9" s="1"/>
  <c r="N338" i="9"/>
  <c r="O340" i="9"/>
  <c r="P340" i="9"/>
  <c r="L341" i="9"/>
  <c r="O341" i="9" s="1"/>
  <c r="M341" i="9"/>
  <c r="M339" i="9" s="1"/>
  <c r="P339" i="9" s="1"/>
  <c r="N341" i="9"/>
  <c r="N339" i="9" s="1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M357" i="9"/>
  <c r="N357" i="9"/>
  <c r="O357" i="9"/>
  <c r="O360" i="9"/>
  <c r="P360" i="9"/>
  <c r="L361" i="9"/>
  <c r="M361" i="9"/>
  <c r="M359" i="9" s="1"/>
  <c r="N361" i="9"/>
  <c r="O363" i="9"/>
  <c r="P363" i="9"/>
  <c r="L364" i="9"/>
  <c r="L362" i="9" s="1"/>
  <c r="O362" i="9" s="1"/>
  <c r="M364" i="9"/>
  <c r="M362" i="9" s="1"/>
  <c r="P362" i="9" s="1"/>
  <c r="N364" i="9"/>
  <c r="N362" i="9" s="1"/>
  <c r="J367" i="9"/>
  <c r="K367" i="9"/>
  <c r="I368" i="9"/>
  <c r="K368" i="9" s="1"/>
  <c r="J368" i="9"/>
  <c r="I369" i="9"/>
  <c r="K369" i="9" s="1"/>
  <c r="J369" i="9"/>
  <c r="J370" i="9"/>
  <c r="K370" i="9"/>
  <c r="I371" i="9"/>
  <c r="I365" i="9" s="1"/>
  <c r="K365" i="9" s="1"/>
  <c r="J371" i="9"/>
  <c r="J365" i="9" s="1"/>
  <c r="J372" i="9"/>
  <c r="K372" i="9"/>
  <c r="D373" i="9"/>
  <c r="I376" i="9"/>
  <c r="J376" i="9"/>
  <c r="K376" i="9"/>
  <c r="L378" i="9"/>
  <c r="M378" i="9"/>
  <c r="P378" i="9" s="1"/>
  <c r="N378" i="9"/>
  <c r="O381" i="9"/>
  <c r="P381" i="9"/>
  <c r="L382" i="9"/>
  <c r="L380" i="9" s="1"/>
  <c r="O380" i="9" s="1"/>
  <c r="M382" i="9"/>
  <c r="N382" i="9"/>
  <c r="O384" i="9"/>
  <c r="P384" i="9"/>
  <c r="L385" i="9"/>
  <c r="L383" i="9" s="1"/>
  <c r="O383" i="9" s="1"/>
  <c r="M385" i="9"/>
  <c r="N385" i="9"/>
  <c r="N383" i="9" s="1"/>
  <c r="K387" i="9"/>
  <c r="K388" i="9"/>
  <c r="A391" i="9"/>
  <c r="L22" i="8"/>
  <c r="L19" i="8" s="1"/>
  <c r="M22" i="8"/>
  <c r="N22" i="8"/>
  <c r="L25" i="8"/>
  <c r="M25" i="8"/>
  <c r="N25" i="8"/>
  <c r="P25" i="8"/>
  <c r="L45" i="8"/>
  <c r="M45" i="8"/>
  <c r="P45" i="8" s="1"/>
  <c r="N45" i="8"/>
  <c r="O45" i="8"/>
  <c r="O48" i="8"/>
  <c r="P48" i="8"/>
  <c r="L49" i="8"/>
  <c r="L47" i="8" s="1"/>
  <c r="M49" i="8"/>
  <c r="M47" i="8" s="1"/>
  <c r="N49" i="8"/>
  <c r="N47" i="8" s="1"/>
  <c r="O51" i="8"/>
  <c r="P51" i="8"/>
  <c r="L52" i="8"/>
  <c r="L50" i="8" s="1"/>
  <c r="O50" i="8" s="1"/>
  <c r="M52" i="8"/>
  <c r="M50" i="8" s="1"/>
  <c r="P50" i="8" s="1"/>
  <c r="N52" i="8"/>
  <c r="N50" i="8" s="1"/>
  <c r="L60" i="8"/>
  <c r="O60" i="8" s="1"/>
  <c r="M60" i="8"/>
  <c r="N60" i="8"/>
  <c r="O63" i="8"/>
  <c r="P63" i="8"/>
  <c r="L64" i="8"/>
  <c r="M64" i="8"/>
  <c r="N64" i="8"/>
  <c r="N62" i="8" s="1"/>
  <c r="O66" i="8"/>
  <c r="P66" i="8"/>
  <c r="L67" i="8"/>
  <c r="M67" i="8"/>
  <c r="P67" i="8" s="1"/>
  <c r="N67" i="8"/>
  <c r="L73" i="8"/>
  <c r="O73" i="8" s="1"/>
  <c r="M73" i="8"/>
  <c r="N73" i="8"/>
  <c r="P73" i="8"/>
  <c r="O76" i="8"/>
  <c r="P76" i="8"/>
  <c r="L77" i="8"/>
  <c r="M77" i="8"/>
  <c r="M75" i="8" s="1"/>
  <c r="P75" i="8" s="1"/>
  <c r="N77" i="8"/>
  <c r="N75" i="8" s="1"/>
  <c r="O79" i="8"/>
  <c r="P79" i="8"/>
  <c r="L80" i="8"/>
  <c r="O80" i="8" s="1"/>
  <c r="M80" i="8"/>
  <c r="M78" i="8" s="1"/>
  <c r="P78" i="8" s="1"/>
  <c r="N80" i="8"/>
  <c r="N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N95" i="8"/>
  <c r="P95" i="8"/>
  <c r="O98" i="8"/>
  <c r="P98" i="8"/>
  <c r="L99" i="8"/>
  <c r="O99" i="8" s="1"/>
  <c r="M99" i="8"/>
  <c r="N99" i="8"/>
  <c r="N97" i="8" s="1"/>
  <c r="O101" i="8"/>
  <c r="P101" i="8"/>
  <c r="L102" i="8"/>
  <c r="O102" i="8" s="1"/>
  <c r="M102" i="8"/>
  <c r="M100" i="8" s="1"/>
  <c r="P100" i="8" s="1"/>
  <c r="N102" i="8"/>
  <c r="N100" i="8" s="1"/>
  <c r="I108" i="8"/>
  <c r="I92" i="8" s="1"/>
  <c r="K92" i="8" s="1"/>
  <c r="I109" i="8"/>
  <c r="K109" i="8" s="1"/>
  <c r="I117" i="8"/>
  <c r="K117" i="8" s="1"/>
  <c r="L126" i="8"/>
  <c r="O126" i="8" s="1"/>
  <c r="M126" i="8"/>
  <c r="P126" i="8" s="1"/>
  <c r="N126" i="8"/>
  <c r="O129" i="8"/>
  <c r="P129" i="8"/>
  <c r="L130" i="8"/>
  <c r="M130" i="8"/>
  <c r="N130" i="8"/>
  <c r="O132" i="8"/>
  <c r="P132" i="8"/>
  <c r="L133" i="8"/>
  <c r="M133" i="8"/>
  <c r="N133" i="8"/>
  <c r="N131" i="8" s="1"/>
  <c r="J136" i="8"/>
  <c r="J137" i="8"/>
  <c r="J138" i="8"/>
  <c r="L140" i="8"/>
  <c r="O140" i="8" s="1"/>
  <c r="M140" i="8"/>
  <c r="P140" i="8" s="1"/>
  <c r="N140" i="8"/>
  <c r="O143" i="8"/>
  <c r="P143" i="8"/>
  <c r="L144" i="8"/>
  <c r="L142" i="8" s="1"/>
  <c r="O142" i="8" s="1"/>
  <c r="M144" i="8"/>
  <c r="N144" i="8"/>
  <c r="N142" i="8" s="1"/>
  <c r="O146" i="8"/>
  <c r="P146" i="8"/>
  <c r="L147" i="8"/>
  <c r="M147" i="8"/>
  <c r="N147" i="8"/>
  <c r="N145" i="8" s="1"/>
  <c r="I150" i="8"/>
  <c r="K150" i="8" s="1"/>
  <c r="I151" i="8"/>
  <c r="K151" i="8" s="1"/>
  <c r="I152" i="8"/>
  <c r="K152" i="8" s="1"/>
  <c r="I153" i="8"/>
  <c r="I138" i="8" s="1"/>
  <c r="K138" i="8" s="1"/>
  <c r="I154" i="8"/>
  <c r="I136" i="8" s="1"/>
  <c r="K136" i="8" s="1"/>
  <c r="J156" i="8"/>
  <c r="L158" i="8"/>
  <c r="O158" i="8" s="1"/>
  <c r="M158" i="8"/>
  <c r="N158" i="8"/>
  <c r="P158" i="8"/>
  <c r="O161" i="8"/>
  <c r="P161" i="8"/>
  <c r="L162" i="8"/>
  <c r="M162" i="8"/>
  <c r="M160" i="8" s="1"/>
  <c r="P160" i="8" s="1"/>
  <c r="N162" i="8"/>
  <c r="O164" i="8"/>
  <c r="P164" i="8"/>
  <c r="L165" i="8"/>
  <c r="L163" i="8" s="1"/>
  <c r="O163" i="8" s="1"/>
  <c r="M165" i="8"/>
  <c r="M163" i="8" s="1"/>
  <c r="P163" i="8" s="1"/>
  <c r="N165" i="8"/>
  <c r="N163" i="8" s="1"/>
  <c r="I167" i="8"/>
  <c r="K167" i="8" s="1"/>
  <c r="I168" i="8"/>
  <c r="K168" i="8" s="1"/>
  <c r="I169" i="8"/>
  <c r="I156" i="8" s="1"/>
  <c r="K156" i="8" s="1"/>
  <c r="J172" i="8"/>
  <c r="L174" i="8"/>
  <c r="M174" i="8"/>
  <c r="P174" i="8" s="1"/>
  <c r="N174" i="8"/>
  <c r="O174" i="8"/>
  <c r="O177" i="8"/>
  <c r="P177" i="8"/>
  <c r="L178" i="8"/>
  <c r="L176" i="8" s="1"/>
  <c r="O176" i="8" s="1"/>
  <c r="M178" i="8"/>
  <c r="M176" i="8" s="1"/>
  <c r="P176" i="8" s="1"/>
  <c r="N178" i="8"/>
  <c r="O180" i="8"/>
  <c r="P180" i="8"/>
  <c r="L181" i="8"/>
  <c r="O181" i="8" s="1"/>
  <c r="M181" i="8"/>
  <c r="M179" i="8" s="1"/>
  <c r="P179" i="8" s="1"/>
  <c r="N181" i="8"/>
  <c r="N179" i="8" s="1"/>
  <c r="I183" i="8"/>
  <c r="K183" i="8" s="1"/>
  <c r="K184" i="8"/>
  <c r="L187" i="8"/>
  <c r="O187" i="8" s="1"/>
  <c r="M187" i="8"/>
  <c r="N187" i="8"/>
  <c r="O190" i="8"/>
  <c r="P190" i="8"/>
  <c r="L191" i="8"/>
  <c r="M191" i="8"/>
  <c r="N191" i="8"/>
  <c r="N189" i="8" s="1"/>
  <c r="O193" i="8"/>
  <c r="P193" i="8"/>
  <c r="L194" i="8"/>
  <c r="M194" i="8"/>
  <c r="P194" i="8" s="1"/>
  <c r="N194" i="8"/>
  <c r="N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L204" i="8"/>
  <c r="L205" i="8"/>
  <c r="L206" i="8"/>
  <c r="L207" i="8"/>
  <c r="I209" i="8"/>
  <c r="K209" i="8" s="1"/>
  <c r="I211" i="8"/>
  <c r="K211" i="8" s="1"/>
  <c r="I212" i="8"/>
  <c r="K212" i="8" s="1"/>
  <c r="J213" i="8"/>
  <c r="N214" i="8"/>
  <c r="P214" i="8"/>
  <c r="L215" i="8"/>
  <c r="L216" i="8"/>
  <c r="L217" i="8"/>
  <c r="I219" i="8"/>
  <c r="K219" i="8" s="1"/>
  <c r="I220" i="8"/>
  <c r="K220" i="8" s="1"/>
  <c r="J221" i="8"/>
  <c r="N222" i="8"/>
  <c r="P222" i="8"/>
  <c r="L223" i="8"/>
  <c r="L224" i="8"/>
  <c r="L225" i="8"/>
  <c r="I228" i="8"/>
  <c r="K228" i="8" s="1"/>
  <c r="I229" i="8"/>
  <c r="I230" i="8"/>
  <c r="K230" i="8" s="1"/>
  <c r="J231" i="8"/>
  <c r="J185" i="8" s="1"/>
  <c r="N233" i="8"/>
  <c r="N234" i="8"/>
  <c r="N235" i="8"/>
  <c r="N236" i="8"/>
  <c r="J238" i="8"/>
  <c r="J240" i="8"/>
  <c r="J241" i="8"/>
  <c r="J242" i="8"/>
  <c r="N243" i="8"/>
  <c r="P243" i="8"/>
  <c r="L244" i="8"/>
  <c r="L245" i="8"/>
  <c r="L246" i="8"/>
  <c r="L247" i="8"/>
  <c r="I249" i="8"/>
  <c r="I242" i="8" s="1"/>
  <c r="I251" i="8"/>
  <c r="I240" i="8" s="1"/>
  <c r="K240" i="8" s="1"/>
  <c r="I252" i="8"/>
  <c r="K252" i="8" s="1"/>
  <c r="J253" i="8"/>
  <c r="N254" i="8"/>
  <c r="P254" i="8"/>
  <c r="L255" i="8"/>
  <c r="L256" i="8"/>
  <c r="L257" i="8"/>
  <c r="L258" i="8"/>
  <c r="I260" i="8"/>
  <c r="K262" i="8"/>
  <c r="K263" i="8"/>
  <c r="I265" i="8"/>
  <c r="K265" i="8" s="1"/>
  <c r="J265" i="8"/>
  <c r="L267" i="8"/>
  <c r="M267" i="8"/>
  <c r="P267" i="8" s="1"/>
  <c r="N267" i="8"/>
  <c r="O267" i="8"/>
  <c r="O270" i="8"/>
  <c r="P270" i="8"/>
  <c r="L271" i="8"/>
  <c r="O271" i="8" s="1"/>
  <c r="M271" i="8"/>
  <c r="M269" i="8" s="1"/>
  <c r="P269" i="8" s="1"/>
  <c r="N271" i="8"/>
  <c r="N269" i="8" s="1"/>
  <c r="O273" i="8"/>
  <c r="P273" i="8"/>
  <c r="L274" i="8"/>
  <c r="O274" i="8" s="1"/>
  <c r="M274" i="8"/>
  <c r="M272" i="8" s="1"/>
  <c r="P272" i="8" s="1"/>
  <c r="N274" i="8"/>
  <c r="N272" i="8" s="1"/>
  <c r="J281" i="8"/>
  <c r="L283" i="8"/>
  <c r="O283" i="8" s="1"/>
  <c r="M283" i="8"/>
  <c r="P283" i="8" s="1"/>
  <c r="N283" i="8"/>
  <c r="O286" i="8"/>
  <c r="P286" i="8"/>
  <c r="L287" i="8"/>
  <c r="L285" i="8" s="1"/>
  <c r="O285" i="8" s="1"/>
  <c r="M287" i="8"/>
  <c r="N287" i="8"/>
  <c r="N285" i="8" s="1"/>
  <c r="O289" i="8"/>
  <c r="P289" i="8"/>
  <c r="L290" i="8"/>
  <c r="L288" i="8" s="1"/>
  <c r="O288" i="8" s="1"/>
  <c r="M290" i="8"/>
  <c r="M288" i="8" s="1"/>
  <c r="P288" i="8" s="1"/>
  <c r="N290" i="8"/>
  <c r="N288" i="8" s="1"/>
  <c r="I292" i="8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P304" i="8" s="1"/>
  <c r="N304" i="8"/>
  <c r="O304" i="8"/>
  <c r="O307" i="8"/>
  <c r="P307" i="8"/>
  <c r="L308" i="8"/>
  <c r="M308" i="8"/>
  <c r="N308" i="8"/>
  <c r="N306" i="8" s="1"/>
  <c r="O310" i="8"/>
  <c r="P310" i="8"/>
  <c r="L311" i="8"/>
  <c r="O311" i="8" s="1"/>
  <c r="M311" i="8"/>
  <c r="M309" i="8" s="1"/>
  <c r="P309" i="8" s="1"/>
  <c r="N311" i="8"/>
  <c r="I314" i="8"/>
  <c r="I302" i="8" s="1"/>
  <c r="K302" i="8" s="1"/>
  <c r="I315" i="8"/>
  <c r="K315" i="8" s="1"/>
  <c r="I316" i="8"/>
  <c r="K316" i="8" s="1"/>
  <c r="I317" i="8"/>
  <c r="K317" i="8" s="1"/>
  <c r="J319" i="8"/>
  <c r="L321" i="8"/>
  <c r="O321" i="8" s="1"/>
  <c r="M321" i="8"/>
  <c r="P321" i="8" s="1"/>
  <c r="N321" i="8"/>
  <c r="O324" i="8"/>
  <c r="P324" i="8"/>
  <c r="L325" i="8"/>
  <c r="L323" i="8" s="1"/>
  <c r="O323" i="8" s="1"/>
  <c r="M325" i="8"/>
  <c r="N325" i="8"/>
  <c r="N323" i="8" s="1"/>
  <c r="O327" i="8"/>
  <c r="P327" i="8"/>
  <c r="L328" i="8"/>
  <c r="M328" i="8"/>
  <c r="M326" i="8" s="1"/>
  <c r="P326" i="8" s="1"/>
  <c r="N328" i="8"/>
  <c r="N326" i="8" s="1"/>
  <c r="I330" i="8"/>
  <c r="I319" i="8" s="1"/>
  <c r="K319" i="8" s="1"/>
  <c r="L334" i="8"/>
  <c r="O334" i="8" s="1"/>
  <c r="M334" i="8"/>
  <c r="P334" i="8" s="1"/>
  <c r="N334" i="8"/>
  <c r="O337" i="8"/>
  <c r="P337" i="8"/>
  <c r="L338" i="8"/>
  <c r="L336" i="8" s="1"/>
  <c r="M338" i="8"/>
  <c r="N338" i="8"/>
  <c r="O340" i="8"/>
  <c r="P340" i="8"/>
  <c r="L341" i="8"/>
  <c r="M341" i="8"/>
  <c r="P341" i="8" s="1"/>
  <c r="N341" i="8"/>
  <c r="N339" i="8" s="1"/>
  <c r="I344" i="8"/>
  <c r="J344" i="8"/>
  <c r="I346" i="8"/>
  <c r="J346" i="8"/>
  <c r="J347" i="8"/>
  <c r="J348" i="8"/>
  <c r="J349" i="8"/>
  <c r="D350" i="8"/>
  <c r="J352" i="8"/>
  <c r="J353" i="8"/>
  <c r="D354" i="8"/>
  <c r="L357" i="8"/>
  <c r="O357" i="8" s="1"/>
  <c r="M357" i="8"/>
  <c r="N357" i="8"/>
  <c r="O360" i="8"/>
  <c r="P360" i="8"/>
  <c r="L361" i="8"/>
  <c r="L359" i="8" s="1"/>
  <c r="M361" i="8"/>
  <c r="N361" i="8"/>
  <c r="O363" i="8"/>
  <c r="P363" i="8"/>
  <c r="L364" i="8"/>
  <c r="L362" i="8" s="1"/>
  <c r="O362" i="8" s="1"/>
  <c r="M364" i="8"/>
  <c r="P364" i="8" s="1"/>
  <c r="N364" i="8"/>
  <c r="N362" i="8" s="1"/>
  <c r="J367" i="8"/>
  <c r="K367" i="8"/>
  <c r="I368" i="8"/>
  <c r="K368" i="8" s="1"/>
  <c r="J368" i="8"/>
  <c r="I369" i="8"/>
  <c r="K369" i="8" s="1"/>
  <c r="J369" i="8"/>
  <c r="J370" i="8"/>
  <c r="K370" i="8"/>
  <c r="I371" i="8"/>
  <c r="I365" i="8" s="1"/>
  <c r="J371" i="8"/>
  <c r="J365" i="8" s="1"/>
  <c r="J372" i="8"/>
  <c r="K372" i="8"/>
  <c r="D373" i="8"/>
  <c r="I376" i="8"/>
  <c r="J376" i="8"/>
  <c r="K376" i="8"/>
  <c r="L378" i="8"/>
  <c r="M378" i="8"/>
  <c r="N378" i="8"/>
  <c r="O381" i="8"/>
  <c r="P381" i="8"/>
  <c r="L382" i="8"/>
  <c r="O382" i="8" s="1"/>
  <c r="M382" i="8"/>
  <c r="N382" i="8"/>
  <c r="O384" i="8"/>
  <c r="P384" i="8"/>
  <c r="L385" i="8"/>
  <c r="O385" i="8" s="1"/>
  <c r="M385" i="8"/>
  <c r="P385" i="8" s="1"/>
  <c r="N385" i="8"/>
  <c r="N383" i="8" s="1"/>
  <c r="K387" i="8"/>
  <c r="K388" i="8"/>
  <c r="A391" i="8"/>
  <c r="L22" i="7"/>
  <c r="M22" i="7"/>
  <c r="P22" i="7" s="1"/>
  <c r="N22" i="7"/>
  <c r="O22" i="7"/>
  <c r="L25" i="7"/>
  <c r="M25" i="7"/>
  <c r="N25" i="7"/>
  <c r="L45" i="7"/>
  <c r="M45" i="7"/>
  <c r="P45" i="7" s="1"/>
  <c r="N45" i="7"/>
  <c r="O45" i="7"/>
  <c r="O48" i="7"/>
  <c r="P48" i="7"/>
  <c r="L49" i="7"/>
  <c r="L47" i="7" s="1"/>
  <c r="M49" i="7"/>
  <c r="M47" i="7" s="1"/>
  <c r="N49" i="7"/>
  <c r="N47" i="7" s="1"/>
  <c r="O51" i="7"/>
  <c r="P51" i="7"/>
  <c r="L52" i="7"/>
  <c r="O52" i="7" s="1"/>
  <c r="M52" i="7"/>
  <c r="M50" i="7" s="1"/>
  <c r="P50" i="7" s="1"/>
  <c r="N52" i="7"/>
  <c r="N50" i="7" s="1"/>
  <c r="L60" i="7"/>
  <c r="O60" i="7" s="1"/>
  <c r="M60" i="7"/>
  <c r="N60" i="7"/>
  <c r="O63" i="7"/>
  <c r="P63" i="7"/>
  <c r="L64" i="7"/>
  <c r="L62" i="7" s="1"/>
  <c r="M64" i="7"/>
  <c r="N64" i="7"/>
  <c r="O66" i="7"/>
  <c r="P66" i="7"/>
  <c r="L67" i="7"/>
  <c r="L65" i="7" s="1"/>
  <c r="O65" i="7" s="1"/>
  <c r="M67" i="7"/>
  <c r="M65" i="7" s="1"/>
  <c r="P65" i="7" s="1"/>
  <c r="N67" i="7"/>
  <c r="N65" i="7" s="1"/>
  <c r="L73" i="7"/>
  <c r="M73" i="7"/>
  <c r="P73" i="7" s="1"/>
  <c r="N73" i="7"/>
  <c r="O73" i="7"/>
  <c r="O76" i="7"/>
  <c r="P76" i="7"/>
  <c r="L77" i="7"/>
  <c r="L75" i="7" s="1"/>
  <c r="O75" i="7" s="1"/>
  <c r="M77" i="7"/>
  <c r="M75" i="7" s="1"/>
  <c r="P75" i="7" s="1"/>
  <c r="N77" i="7"/>
  <c r="N75" i="7" s="1"/>
  <c r="O79" i="7"/>
  <c r="P79" i="7"/>
  <c r="L80" i="7"/>
  <c r="M80" i="7"/>
  <c r="M78" i="7" s="1"/>
  <c r="P78" i="7" s="1"/>
  <c r="N80" i="7"/>
  <c r="N78" i="7" s="1"/>
  <c r="J82" i="7"/>
  <c r="J70" i="7" s="1"/>
  <c r="J83" i="7"/>
  <c r="J71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I90" i="7"/>
  <c r="K90" i="7" s="1"/>
  <c r="J92" i="7"/>
  <c r="J93" i="7"/>
  <c r="L95" i="7"/>
  <c r="O95" i="7" s="1"/>
  <c r="M95" i="7"/>
  <c r="N95" i="7"/>
  <c r="P95" i="7"/>
  <c r="O98" i="7"/>
  <c r="P98" i="7"/>
  <c r="L99" i="7"/>
  <c r="O99" i="7" s="1"/>
  <c r="M99" i="7"/>
  <c r="P99" i="7" s="1"/>
  <c r="N99" i="7"/>
  <c r="N97" i="7" s="1"/>
  <c r="O101" i="7"/>
  <c r="P101" i="7"/>
  <c r="L102" i="7"/>
  <c r="O102" i="7" s="1"/>
  <c r="M102" i="7"/>
  <c r="P102" i="7" s="1"/>
  <c r="N102" i="7"/>
  <c r="I108" i="7"/>
  <c r="K108" i="7" s="1"/>
  <c r="I109" i="7"/>
  <c r="I93" i="7" s="1"/>
  <c r="K93" i="7" s="1"/>
  <c r="I117" i="7"/>
  <c r="K117" i="7" s="1"/>
  <c r="L126" i="7"/>
  <c r="O126" i="7" s="1"/>
  <c r="M126" i="7"/>
  <c r="N126" i="7"/>
  <c r="P126" i="7"/>
  <c r="O129" i="7"/>
  <c r="P129" i="7"/>
  <c r="L130" i="7"/>
  <c r="L128" i="7" s="1"/>
  <c r="O128" i="7" s="1"/>
  <c r="M130" i="7"/>
  <c r="M128" i="7" s="1"/>
  <c r="P128" i="7" s="1"/>
  <c r="N130" i="7"/>
  <c r="N128" i="7" s="1"/>
  <c r="O132" i="7"/>
  <c r="P132" i="7"/>
  <c r="L133" i="7"/>
  <c r="L131" i="7" s="1"/>
  <c r="O131" i="7" s="1"/>
  <c r="M133" i="7"/>
  <c r="M131" i="7" s="1"/>
  <c r="P131" i="7" s="1"/>
  <c r="N133" i="7"/>
  <c r="N131" i="7" s="1"/>
  <c r="J136" i="7"/>
  <c r="J137" i="7"/>
  <c r="J138" i="7"/>
  <c r="L140" i="7"/>
  <c r="M140" i="7"/>
  <c r="N140" i="7"/>
  <c r="O140" i="7"/>
  <c r="O143" i="7"/>
  <c r="P143" i="7"/>
  <c r="L144" i="7"/>
  <c r="O144" i="7" s="1"/>
  <c r="M144" i="7"/>
  <c r="M142" i="7" s="1"/>
  <c r="P142" i="7" s="1"/>
  <c r="N144" i="7"/>
  <c r="N142" i="7" s="1"/>
  <c r="O146" i="7"/>
  <c r="P146" i="7"/>
  <c r="L147" i="7"/>
  <c r="L145" i="7" s="1"/>
  <c r="O145" i="7" s="1"/>
  <c r="M147" i="7"/>
  <c r="M145" i="7" s="1"/>
  <c r="P145" i="7" s="1"/>
  <c r="N147" i="7"/>
  <c r="N145" i="7" s="1"/>
  <c r="I150" i="7"/>
  <c r="K150" i="7" s="1"/>
  <c r="I151" i="7"/>
  <c r="K151" i="7" s="1"/>
  <c r="I152" i="7"/>
  <c r="K152" i="7" s="1"/>
  <c r="I153" i="7"/>
  <c r="K153" i="7" s="1"/>
  <c r="I154" i="7"/>
  <c r="K154" i="7" s="1"/>
  <c r="J156" i="7"/>
  <c r="L158" i="7"/>
  <c r="O158" i="7" s="1"/>
  <c r="M158" i="7"/>
  <c r="N158" i="7"/>
  <c r="P158" i="7"/>
  <c r="O161" i="7"/>
  <c r="P161" i="7"/>
  <c r="L162" i="7"/>
  <c r="O162" i="7" s="1"/>
  <c r="M162" i="7"/>
  <c r="N162" i="7"/>
  <c r="O164" i="7"/>
  <c r="P164" i="7"/>
  <c r="L165" i="7"/>
  <c r="O165" i="7" s="1"/>
  <c r="M165" i="7"/>
  <c r="M163" i="7" s="1"/>
  <c r="P163" i="7" s="1"/>
  <c r="N165" i="7"/>
  <c r="N163" i="7" s="1"/>
  <c r="I167" i="7"/>
  <c r="K167" i="7" s="1"/>
  <c r="I168" i="7"/>
  <c r="K168" i="7" s="1"/>
  <c r="I169" i="7"/>
  <c r="I156" i="7" s="1"/>
  <c r="K156" i="7" s="1"/>
  <c r="J172" i="7"/>
  <c r="L174" i="7"/>
  <c r="O174" i="7" s="1"/>
  <c r="M174" i="7"/>
  <c r="N174" i="7"/>
  <c r="P174" i="7"/>
  <c r="O177" i="7"/>
  <c r="P177" i="7"/>
  <c r="L178" i="7"/>
  <c r="M178" i="7"/>
  <c r="N178" i="7"/>
  <c r="O180" i="7"/>
  <c r="P180" i="7"/>
  <c r="L181" i="7"/>
  <c r="O181" i="7" s="1"/>
  <c r="M181" i="7"/>
  <c r="M179" i="7" s="1"/>
  <c r="P179" i="7" s="1"/>
  <c r="N181" i="7"/>
  <c r="N179" i="7" s="1"/>
  <c r="I183" i="7"/>
  <c r="K183" i="7" s="1"/>
  <c r="K184" i="7"/>
  <c r="L187" i="7"/>
  <c r="M187" i="7"/>
  <c r="P187" i="7" s="1"/>
  <c r="N187" i="7"/>
  <c r="O187" i="7"/>
  <c r="O190" i="7"/>
  <c r="P190" i="7"/>
  <c r="L191" i="7"/>
  <c r="M191" i="7"/>
  <c r="M189" i="7" s="1"/>
  <c r="N191" i="7"/>
  <c r="N189" i="7" s="1"/>
  <c r="O193" i="7"/>
  <c r="P193" i="7"/>
  <c r="L194" i="7"/>
  <c r="L192" i="7" s="1"/>
  <c r="O192" i="7" s="1"/>
  <c r="M194" i="7"/>
  <c r="M192" i="7" s="1"/>
  <c r="P192" i="7" s="1"/>
  <c r="N194" i="7"/>
  <c r="N192" i="7" s="1"/>
  <c r="J195" i="7"/>
  <c r="L196" i="7"/>
  <c r="O196" i="7" s="1"/>
  <c r="P196" i="7"/>
  <c r="I198" i="7"/>
  <c r="K198" i="7" s="1"/>
  <c r="J199" i="7"/>
  <c r="J202" i="7"/>
  <c r="N203" i="7"/>
  <c r="P203" i="7"/>
  <c r="L204" i="7"/>
  <c r="L205" i="7"/>
  <c r="L206" i="7"/>
  <c r="L207" i="7"/>
  <c r="I209" i="7"/>
  <c r="K209" i="7" s="1"/>
  <c r="I211" i="7"/>
  <c r="K211" i="7" s="1"/>
  <c r="I212" i="7"/>
  <c r="K212" i="7" s="1"/>
  <c r="J213" i="7"/>
  <c r="N214" i="7"/>
  <c r="P214" i="7"/>
  <c r="L215" i="7"/>
  <c r="L216" i="7"/>
  <c r="L217" i="7"/>
  <c r="I219" i="7"/>
  <c r="K219" i="7" s="1"/>
  <c r="I220" i="7"/>
  <c r="K220" i="7" s="1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P243" i="7"/>
  <c r="L244" i="7"/>
  <c r="L245" i="7"/>
  <c r="L246" i="7"/>
  <c r="L247" i="7"/>
  <c r="I249" i="7"/>
  <c r="K251" i="7"/>
  <c r="K252" i="7"/>
  <c r="J253" i="7"/>
  <c r="J231" i="7" s="1"/>
  <c r="J185" i="7" s="1"/>
  <c r="N254" i="7"/>
  <c r="P254" i="7"/>
  <c r="L255" i="7"/>
  <c r="L256" i="7"/>
  <c r="L257" i="7"/>
  <c r="L258" i="7"/>
  <c r="I260" i="7"/>
  <c r="I253" i="7" s="1"/>
  <c r="K253" i="7" s="1"/>
  <c r="K262" i="7"/>
  <c r="K263" i="7"/>
  <c r="I265" i="7"/>
  <c r="K265" i="7" s="1"/>
  <c r="J265" i="7"/>
  <c r="L267" i="7"/>
  <c r="M267" i="7"/>
  <c r="P267" i="7" s="1"/>
  <c r="N267" i="7"/>
  <c r="O267" i="7"/>
  <c r="O270" i="7"/>
  <c r="P270" i="7"/>
  <c r="L271" i="7"/>
  <c r="L269" i="7" s="1"/>
  <c r="O269" i="7" s="1"/>
  <c r="M271" i="7"/>
  <c r="M269" i="7" s="1"/>
  <c r="P269" i="7" s="1"/>
  <c r="N271" i="7"/>
  <c r="N269" i="7" s="1"/>
  <c r="O273" i="7"/>
  <c r="P273" i="7"/>
  <c r="L274" i="7"/>
  <c r="L272" i="7" s="1"/>
  <c r="O272" i="7" s="1"/>
  <c r="M274" i="7"/>
  <c r="M272" i="7" s="1"/>
  <c r="P272" i="7" s="1"/>
  <c r="N274" i="7"/>
  <c r="N272" i="7" s="1"/>
  <c r="J281" i="7"/>
  <c r="L283" i="7"/>
  <c r="M283" i="7"/>
  <c r="P283" i="7" s="1"/>
  <c r="N283" i="7"/>
  <c r="O283" i="7"/>
  <c r="O286" i="7"/>
  <c r="P286" i="7"/>
  <c r="L287" i="7"/>
  <c r="O287" i="7" s="1"/>
  <c r="M287" i="7"/>
  <c r="N287" i="7"/>
  <c r="O289" i="7"/>
  <c r="P289" i="7"/>
  <c r="L290" i="7"/>
  <c r="O290" i="7" s="1"/>
  <c r="M290" i="7"/>
  <c r="M288" i="7" s="1"/>
  <c r="P288" i="7" s="1"/>
  <c r="N290" i="7"/>
  <c r="N288" i="7" s="1"/>
  <c r="I292" i="7"/>
  <c r="K292" i="7" s="1"/>
  <c r="I293" i="7"/>
  <c r="K293" i="7" s="1"/>
  <c r="J293" i="7"/>
  <c r="J280" i="7" s="1"/>
  <c r="I295" i="7"/>
  <c r="K295" i="7" s="1"/>
  <c r="I296" i="7"/>
  <c r="K296" i="7" s="1"/>
  <c r="J302" i="7"/>
  <c r="L304" i="7"/>
  <c r="O304" i="7" s="1"/>
  <c r="M304" i="7"/>
  <c r="P304" i="7" s="1"/>
  <c r="N304" i="7"/>
  <c r="O307" i="7"/>
  <c r="P307" i="7"/>
  <c r="L308" i="7"/>
  <c r="L306" i="7" s="1"/>
  <c r="O306" i="7" s="1"/>
  <c r="M308" i="7"/>
  <c r="M306" i="7" s="1"/>
  <c r="P306" i="7" s="1"/>
  <c r="N308" i="7"/>
  <c r="N306" i="7" s="1"/>
  <c r="O310" i="7"/>
  <c r="P310" i="7"/>
  <c r="L311" i="7"/>
  <c r="L309" i="7" s="1"/>
  <c r="O309" i="7" s="1"/>
  <c r="M311" i="7"/>
  <c r="M309" i="7" s="1"/>
  <c r="P309" i="7" s="1"/>
  <c r="N311" i="7"/>
  <c r="N309" i="7" s="1"/>
  <c r="I314" i="7"/>
  <c r="K314" i="7" s="1"/>
  <c r="I315" i="7"/>
  <c r="K315" i="7" s="1"/>
  <c r="I316" i="7"/>
  <c r="K316" i="7" s="1"/>
  <c r="I317" i="7"/>
  <c r="K317" i="7" s="1"/>
  <c r="J319" i="7"/>
  <c r="L321" i="7"/>
  <c r="O321" i="7" s="1"/>
  <c r="M321" i="7"/>
  <c r="N321" i="7"/>
  <c r="O324" i="7"/>
  <c r="P324" i="7"/>
  <c r="L325" i="7"/>
  <c r="L323" i="7" s="1"/>
  <c r="O323" i="7" s="1"/>
  <c r="M325" i="7"/>
  <c r="M323" i="7" s="1"/>
  <c r="P323" i="7" s="1"/>
  <c r="N325" i="7"/>
  <c r="N323" i="7" s="1"/>
  <c r="O327" i="7"/>
  <c r="P327" i="7"/>
  <c r="L328" i="7"/>
  <c r="L326" i="7" s="1"/>
  <c r="O326" i="7" s="1"/>
  <c r="M328" i="7"/>
  <c r="M326" i="7" s="1"/>
  <c r="P326" i="7" s="1"/>
  <c r="N328" i="7"/>
  <c r="N326" i="7" s="1"/>
  <c r="I330" i="7"/>
  <c r="I319" i="7" s="1"/>
  <c r="K319" i="7" s="1"/>
  <c r="L334" i="7"/>
  <c r="O334" i="7" s="1"/>
  <c r="M334" i="7"/>
  <c r="N334" i="7"/>
  <c r="O337" i="7"/>
  <c r="P337" i="7"/>
  <c r="L338" i="7"/>
  <c r="M338" i="7"/>
  <c r="N338" i="7"/>
  <c r="N336" i="7" s="1"/>
  <c r="O340" i="7"/>
  <c r="P340" i="7"/>
  <c r="L341" i="7"/>
  <c r="O341" i="7" s="1"/>
  <c r="M341" i="7"/>
  <c r="P341" i="7" s="1"/>
  <c r="N341" i="7"/>
  <c r="N339" i="7" s="1"/>
  <c r="I344" i="7"/>
  <c r="I332" i="7" s="1"/>
  <c r="J344" i="7"/>
  <c r="I346" i="7"/>
  <c r="J346" i="7"/>
  <c r="J347" i="7"/>
  <c r="J348" i="7"/>
  <c r="J349" i="7"/>
  <c r="D350" i="7"/>
  <c r="J352" i="7"/>
  <c r="J353" i="7"/>
  <c r="D354" i="7"/>
  <c r="L357" i="7"/>
  <c r="O357" i="7" s="1"/>
  <c r="M357" i="7"/>
  <c r="N357" i="7"/>
  <c r="O360" i="7"/>
  <c r="P360" i="7"/>
  <c r="L361" i="7"/>
  <c r="M361" i="7"/>
  <c r="N361" i="7"/>
  <c r="O363" i="7"/>
  <c r="P363" i="7"/>
  <c r="L364" i="7"/>
  <c r="O364" i="7" s="1"/>
  <c r="M364" i="7"/>
  <c r="P364" i="7" s="1"/>
  <c r="N364" i="7"/>
  <c r="N362" i="7" s="1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I376" i="7"/>
  <c r="J376" i="7"/>
  <c r="K376" i="7"/>
  <c r="L378" i="7"/>
  <c r="M378" i="7"/>
  <c r="P378" i="7" s="1"/>
  <c r="N378" i="7"/>
  <c r="O381" i="7"/>
  <c r="P381" i="7"/>
  <c r="L382" i="7"/>
  <c r="O382" i="7" s="1"/>
  <c r="M382" i="7"/>
  <c r="P382" i="7" s="1"/>
  <c r="N382" i="7"/>
  <c r="N380" i="7" s="1"/>
  <c r="O384" i="7"/>
  <c r="P384" i="7"/>
  <c r="L385" i="7"/>
  <c r="O385" i="7" s="1"/>
  <c r="M385" i="7"/>
  <c r="P385" i="7" s="1"/>
  <c r="N385" i="7"/>
  <c r="N383" i="7" s="1"/>
  <c r="K387" i="7"/>
  <c r="K388" i="7"/>
  <c r="A391" i="7"/>
  <c r="L22" i="6"/>
  <c r="L19" i="6" s="1"/>
  <c r="M22" i="6"/>
  <c r="M19" i="6" s="1"/>
  <c r="N22" i="6"/>
  <c r="L25" i="6"/>
  <c r="M25" i="6"/>
  <c r="N25" i="6"/>
  <c r="N19" i="6" s="1"/>
  <c r="P25" i="6"/>
  <c r="L45" i="6"/>
  <c r="O45" i="6" s="1"/>
  <c r="M45" i="6"/>
  <c r="N45" i="6"/>
  <c r="P45" i="6"/>
  <c r="O48" i="6"/>
  <c r="P48" i="6"/>
  <c r="L49" i="6"/>
  <c r="L47" i="6" s="1"/>
  <c r="M49" i="6"/>
  <c r="M47" i="6" s="1"/>
  <c r="N49" i="6"/>
  <c r="N47" i="6" s="1"/>
  <c r="O51" i="6"/>
  <c r="P51" i="6"/>
  <c r="L52" i="6"/>
  <c r="M52" i="6"/>
  <c r="M50" i="6" s="1"/>
  <c r="P50" i="6" s="1"/>
  <c r="N52" i="6"/>
  <c r="L60" i="6"/>
  <c r="M60" i="6"/>
  <c r="N60" i="6"/>
  <c r="O60" i="6"/>
  <c r="O63" i="6"/>
  <c r="P63" i="6"/>
  <c r="L64" i="6"/>
  <c r="M64" i="6"/>
  <c r="M62" i="6" s="1"/>
  <c r="N64" i="6"/>
  <c r="O66" i="6"/>
  <c r="P66" i="6"/>
  <c r="L67" i="6"/>
  <c r="M67" i="6"/>
  <c r="M65" i="6" s="1"/>
  <c r="P65" i="6" s="1"/>
  <c r="N67" i="6"/>
  <c r="N65" i="6" s="1"/>
  <c r="L73" i="6"/>
  <c r="O73" i="6" s="1"/>
  <c r="M73" i="6"/>
  <c r="P73" i="6" s="1"/>
  <c r="N73" i="6"/>
  <c r="O76" i="6"/>
  <c r="P76" i="6"/>
  <c r="L77" i="6"/>
  <c r="L75" i="6" s="1"/>
  <c r="O75" i="6" s="1"/>
  <c r="M77" i="6"/>
  <c r="N77" i="6"/>
  <c r="O79" i="6"/>
  <c r="P79" i="6"/>
  <c r="L80" i="6"/>
  <c r="L78" i="6" s="1"/>
  <c r="O78" i="6" s="1"/>
  <c r="M80" i="6"/>
  <c r="N80" i="6"/>
  <c r="N78" i="6" s="1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O95" i="6" s="1"/>
  <c r="M95" i="6"/>
  <c r="P95" i="6" s="1"/>
  <c r="N95" i="6"/>
  <c r="O98" i="6"/>
  <c r="P98" i="6"/>
  <c r="L99" i="6"/>
  <c r="L97" i="6" s="1"/>
  <c r="O97" i="6" s="1"/>
  <c r="M99" i="6"/>
  <c r="N99" i="6"/>
  <c r="N97" i="6" s="1"/>
  <c r="O101" i="6"/>
  <c r="P101" i="6"/>
  <c r="L102" i="6"/>
  <c r="L100" i="6" s="1"/>
  <c r="O100" i="6" s="1"/>
  <c r="M102" i="6"/>
  <c r="M100" i="6" s="1"/>
  <c r="P100" i="6" s="1"/>
  <c r="N102" i="6"/>
  <c r="N100" i="6" s="1"/>
  <c r="I108" i="6"/>
  <c r="I92" i="6" s="1"/>
  <c r="K92" i="6" s="1"/>
  <c r="I109" i="6"/>
  <c r="I93" i="6" s="1"/>
  <c r="K93" i="6" s="1"/>
  <c r="I117" i="6"/>
  <c r="K117" i="6" s="1"/>
  <c r="L126" i="6"/>
  <c r="M126" i="6"/>
  <c r="P126" i="6" s="1"/>
  <c r="N126" i="6"/>
  <c r="O129" i="6"/>
  <c r="P129" i="6"/>
  <c r="L130" i="6"/>
  <c r="L128" i="6" s="1"/>
  <c r="O128" i="6" s="1"/>
  <c r="M130" i="6"/>
  <c r="P130" i="6" s="1"/>
  <c r="N130" i="6"/>
  <c r="O132" i="6"/>
  <c r="P132" i="6"/>
  <c r="L133" i="6"/>
  <c r="O133" i="6" s="1"/>
  <c r="M133" i="6"/>
  <c r="P133" i="6" s="1"/>
  <c r="N133" i="6"/>
  <c r="N131" i="6" s="1"/>
  <c r="J136" i="6"/>
  <c r="J137" i="6"/>
  <c r="J138" i="6"/>
  <c r="L140" i="6"/>
  <c r="M140" i="6"/>
  <c r="N140" i="6"/>
  <c r="P140" i="6"/>
  <c r="O143" i="6"/>
  <c r="P143" i="6"/>
  <c r="L144" i="6"/>
  <c r="L142" i="6" s="1"/>
  <c r="O142" i="6" s="1"/>
  <c r="M144" i="6"/>
  <c r="P144" i="6" s="1"/>
  <c r="N144" i="6"/>
  <c r="O146" i="6"/>
  <c r="P146" i="6"/>
  <c r="L147" i="6"/>
  <c r="O147" i="6" s="1"/>
  <c r="M147" i="6"/>
  <c r="P147" i="6" s="1"/>
  <c r="N147" i="6"/>
  <c r="N145" i="6" s="1"/>
  <c r="I150" i="6"/>
  <c r="K150" i="6" s="1"/>
  <c r="I151" i="6"/>
  <c r="K151" i="6" s="1"/>
  <c r="I152" i="6"/>
  <c r="I153" i="6"/>
  <c r="I138" i="6" s="1"/>
  <c r="K138" i="6" s="1"/>
  <c r="I154" i="6"/>
  <c r="K154" i="6" s="1"/>
  <c r="J156" i="6"/>
  <c r="L158" i="6"/>
  <c r="O158" i="6" s="1"/>
  <c r="M158" i="6"/>
  <c r="P158" i="6" s="1"/>
  <c r="N158" i="6"/>
  <c r="O161" i="6"/>
  <c r="P161" i="6"/>
  <c r="L162" i="6"/>
  <c r="M162" i="6"/>
  <c r="N162" i="6"/>
  <c r="N160" i="6" s="1"/>
  <c r="O164" i="6"/>
  <c r="P164" i="6"/>
  <c r="L165" i="6"/>
  <c r="O165" i="6" s="1"/>
  <c r="M165" i="6"/>
  <c r="N165" i="6"/>
  <c r="I167" i="6"/>
  <c r="K167" i="6" s="1"/>
  <c r="J172" i="6"/>
  <c r="L174" i="6"/>
  <c r="O174" i="6" s="1"/>
  <c r="M174" i="6"/>
  <c r="P174" i="6" s="1"/>
  <c r="N174" i="6"/>
  <c r="O177" i="6"/>
  <c r="P177" i="6"/>
  <c r="L178" i="6"/>
  <c r="M178" i="6"/>
  <c r="N178" i="6"/>
  <c r="N176" i="6" s="1"/>
  <c r="O180" i="6"/>
  <c r="P180" i="6"/>
  <c r="L181" i="6"/>
  <c r="L179" i="6" s="1"/>
  <c r="O179" i="6" s="1"/>
  <c r="M181" i="6"/>
  <c r="N181" i="6"/>
  <c r="N179" i="6" s="1"/>
  <c r="I183" i="6"/>
  <c r="K183" i="6" s="1"/>
  <c r="K184" i="6"/>
  <c r="L187" i="6"/>
  <c r="O187" i="6" s="1"/>
  <c r="M187" i="6"/>
  <c r="N187" i="6"/>
  <c r="O190" i="6"/>
  <c r="P190" i="6"/>
  <c r="L191" i="6"/>
  <c r="M191" i="6"/>
  <c r="N191" i="6"/>
  <c r="N189" i="6" s="1"/>
  <c r="O193" i="6"/>
  <c r="P193" i="6"/>
  <c r="L194" i="6"/>
  <c r="O194" i="6" s="1"/>
  <c r="M194" i="6"/>
  <c r="M192" i="6" s="1"/>
  <c r="P192" i="6" s="1"/>
  <c r="N194" i="6"/>
  <c r="N192" i="6" s="1"/>
  <c r="J195" i="6"/>
  <c r="L196" i="6"/>
  <c r="O196" i="6" s="1"/>
  <c r="P196" i="6"/>
  <c r="I198" i="6"/>
  <c r="I195" i="6" s="1"/>
  <c r="K195" i="6" s="1"/>
  <c r="J199" i="6"/>
  <c r="J202" i="6"/>
  <c r="N203" i="6"/>
  <c r="P203" i="6"/>
  <c r="L204" i="6"/>
  <c r="L205" i="6"/>
  <c r="L206" i="6"/>
  <c r="L207" i="6"/>
  <c r="I209" i="6"/>
  <c r="K209" i="6" s="1"/>
  <c r="I211" i="6"/>
  <c r="K211" i="6" s="1"/>
  <c r="I212" i="6"/>
  <c r="K212" i="6" s="1"/>
  <c r="J213" i="6"/>
  <c r="N214" i="6"/>
  <c r="P214" i="6"/>
  <c r="L215" i="6"/>
  <c r="L216" i="6"/>
  <c r="L217" i="6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J185" i="6" s="1"/>
  <c r="N243" i="6"/>
  <c r="P243" i="6"/>
  <c r="L244" i="6"/>
  <c r="L245" i="6"/>
  <c r="L246" i="6"/>
  <c r="L247" i="6"/>
  <c r="I249" i="6"/>
  <c r="K249" i="6" s="1"/>
  <c r="K251" i="6"/>
  <c r="K252" i="6"/>
  <c r="J253" i="6"/>
  <c r="N254" i="6"/>
  <c r="P254" i="6"/>
  <c r="L255" i="6"/>
  <c r="L256" i="6"/>
  <c r="L257" i="6"/>
  <c r="L258" i="6"/>
  <c r="I260" i="6"/>
  <c r="K260" i="6" s="1"/>
  <c r="K262" i="6"/>
  <c r="K263" i="6"/>
  <c r="I265" i="6"/>
  <c r="K265" i="6" s="1"/>
  <c r="J265" i="6"/>
  <c r="L267" i="6"/>
  <c r="M267" i="6"/>
  <c r="P267" i="6" s="1"/>
  <c r="N267" i="6"/>
  <c r="O267" i="6"/>
  <c r="O270" i="6"/>
  <c r="P270" i="6"/>
  <c r="L271" i="6"/>
  <c r="O271" i="6" s="1"/>
  <c r="M271" i="6"/>
  <c r="M269" i="6" s="1"/>
  <c r="P269" i="6" s="1"/>
  <c r="N271" i="6"/>
  <c r="N269" i="6" s="1"/>
  <c r="O273" i="6"/>
  <c r="P273" i="6"/>
  <c r="L274" i="6"/>
  <c r="L272" i="6" s="1"/>
  <c r="O272" i="6" s="1"/>
  <c r="M274" i="6"/>
  <c r="M272" i="6" s="1"/>
  <c r="P272" i="6" s="1"/>
  <c r="N274" i="6"/>
  <c r="N272" i="6" s="1"/>
  <c r="J281" i="6"/>
  <c r="L283" i="6"/>
  <c r="O283" i="6" s="1"/>
  <c r="M283" i="6"/>
  <c r="N283" i="6"/>
  <c r="O286" i="6"/>
  <c r="P286" i="6"/>
  <c r="L287" i="6"/>
  <c r="O287" i="6" s="1"/>
  <c r="M287" i="6"/>
  <c r="P287" i="6" s="1"/>
  <c r="N287" i="6"/>
  <c r="N285" i="6" s="1"/>
  <c r="O289" i="6"/>
  <c r="P289" i="6"/>
  <c r="L290" i="6"/>
  <c r="M290" i="6"/>
  <c r="P290" i="6" s="1"/>
  <c r="N290" i="6"/>
  <c r="N288" i="6" s="1"/>
  <c r="I292" i="6"/>
  <c r="I281" i="6" s="1"/>
  <c r="K281" i="6" s="1"/>
  <c r="I293" i="6"/>
  <c r="I280" i="6" s="1"/>
  <c r="K280" i="6" s="1"/>
  <c r="J293" i="6"/>
  <c r="J280" i="6" s="1"/>
  <c r="I295" i="6"/>
  <c r="K295" i="6" s="1"/>
  <c r="I296" i="6"/>
  <c r="K296" i="6" s="1"/>
  <c r="J302" i="6"/>
  <c r="L304" i="6"/>
  <c r="M304" i="6"/>
  <c r="P304" i="6" s="1"/>
  <c r="N304" i="6"/>
  <c r="O304" i="6"/>
  <c r="O307" i="6"/>
  <c r="P307" i="6"/>
  <c r="L308" i="6"/>
  <c r="M308" i="6"/>
  <c r="M306" i="6" s="1"/>
  <c r="N308" i="6"/>
  <c r="N306" i="6" s="1"/>
  <c r="O310" i="6"/>
  <c r="P310" i="6"/>
  <c r="L311" i="6"/>
  <c r="O311" i="6" s="1"/>
  <c r="M311" i="6"/>
  <c r="M309" i="6" s="1"/>
  <c r="P309" i="6" s="1"/>
  <c r="N311" i="6"/>
  <c r="N309" i="6" s="1"/>
  <c r="I314" i="6"/>
  <c r="I302" i="6" s="1"/>
  <c r="K302" i="6" s="1"/>
  <c r="I315" i="6"/>
  <c r="K315" i="6" s="1"/>
  <c r="I316" i="6"/>
  <c r="K316" i="6" s="1"/>
  <c r="I317" i="6"/>
  <c r="K317" i="6" s="1"/>
  <c r="J319" i="6"/>
  <c r="L321" i="6"/>
  <c r="M321" i="6"/>
  <c r="P321" i="6" s="1"/>
  <c r="N321" i="6"/>
  <c r="O324" i="6"/>
  <c r="P324" i="6"/>
  <c r="L325" i="6"/>
  <c r="L323" i="6" s="1"/>
  <c r="O323" i="6" s="1"/>
  <c r="M325" i="6"/>
  <c r="P325" i="6" s="1"/>
  <c r="N325" i="6"/>
  <c r="N323" i="6" s="1"/>
  <c r="O327" i="6"/>
  <c r="P327" i="6"/>
  <c r="L328" i="6"/>
  <c r="L326" i="6" s="1"/>
  <c r="O326" i="6" s="1"/>
  <c r="M328" i="6"/>
  <c r="M326" i="6" s="1"/>
  <c r="P326" i="6" s="1"/>
  <c r="N328" i="6"/>
  <c r="N326" i="6" s="1"/>
  <c r="I330" i="6"/>
  <c r="I319" i="6" s="1"/>
  <c r="K319" i="6" s="1"/>
  <c r="L334" i="6"/>
  <c r="O334" i="6" s="1"/>
  <c r="M334" i="6"/>
  <c r="N334" i="6"/>
  <c r="O337" i="6"/>
  <c r="P337" i="6"/>
  <c r="L338" i="6"/>
  <c r="M338" i="6"/>
  <c r="M336" i="6" s="1"/>
  <c r="N338" i="6"/>
  <c r="N336" i="6" s="1"/>
  <c r="O340" i="6"/>
  <c r="P340" i="6"/>
  <c r="L341" i="6"/>
  <c r="O341" i="6" s="1"/>
  <c r="M341" i="6"/>
  <c r="M339" i="6" s="1"/>
  <c r="P339" i="6" s="1"/>
  <c r="N341" i="6"/>
  <c r="N339" i="6" s="1"/>
  <c r="I344" i="6"/>
  <c r="J344" i="6"/>
  <c r="I346" i="6"/>
  <c r="J346" i="6"/>
  <c r="J347" i="6"/>
  <c r="J348" i="6"/>
  <c r="J349" i="6"/>
  <c r="D350" i="6"/>
  <c r="J352" i="6"/>
  <c r="J353" i="6"/>
  <c r="D354" i="6"/>
  <c r="L357" i="6"/>
  <c r="M357" i="6"/>
  <c r="P357" i="6" s="1"/>
  <c r="N357" i="6"/>
  <c r="O357" i="6"/>
  <c r="O360" i="6"/>
  <c r="P360" i="6"/>
  <c r="L361" i="6"/>
  <c r="M361" i="6"/>
  <c r="M359" i="6" s="1"/>
  <c r="N361" i="6"/>
  <c r="O363" i="6"/>
  <c r="P363" i="6"/>
  <c r="L364" i="6"/>
  <c r="O364" i="6" s="1"/>
  <c r="M364" i="6"/>
  <c r="M362" i="6" s="1"/>
  <c r="P362" i="6" s="1"/>
  <c r="N364" i="6"/>
  <c r="N362" i="6" s="1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I376" i="6"/>
  <c r="K376" i="6" s="1"/>
  <c r="J376" i="6"/>
  <c r="L378" i="6"/>
  <c r="M378" i="6"/>
  <c r="P378" i="6" s="1"/>
  <c r="N378" i="6"/>
  <c r="O378" i="6"/>
  <c r="O381" i="6"/>
  <c r="P381" i="6"/>
  <c r="L382" i="6"/>
  <c r="L380" i="6" s="1"/>
  <c r="O380" i="6" s="1"/>
  <c r="M382" i="6"/>
  <c r="M380" i="6" s="1"/>
  <c r="P380" i="6" s="1"/>
  <c r="N382" i="6"/>
  <c r="N380" i="6" s="1"/>
  <c r="O384" i="6"/>
  <c r="P384" i="6"/>
  <c r="L385" i="6"/>
  <c r="L383" i="6" s="1"/>
  <c r="O383" i="6" s="1"/>
  <c r="M385" i="6"/>
  <c r="M383" i="6" s="1"/>
  <c r="P383" i="6" s="1"/>
  <c r="N385" i="6"/>
  <c r="N383" i="6" s="1"/>
  <c r="K387" i="6"/>
  <c r="K388" i="6"/>
  <c r="A391" i="6"/>
  <c r="L22" i="5"/>
  <c r="O22" i="5" s="1"/>
  <c r="M22" i="5"/>
  <c r="N22" i="5"/>
  <c r="L25" i="5"/>
  <c r="M25" i="5"/>
  <c r="P25" i="5" s="1"/>
  <c r="N25" i="5"/>
  <c r="O25" i="5"/>
  <c r="L45" i="5"/>
  <c r="M45" i="5"/>
  <c r="N45" i="5"/>
  <c r="O45" i="5"/>
  <c r="P45" i="5"/>
  <c r="O48" i="5"/>
  <c r="P48" i="5"/>
  <c r="L49" i="5"/>
  <c r="M49" i="5"/>
  <c r="N49" i="5"/>
  <c r="O51" i="5"/>
  <c r="P51" i="5"/>
  <c r="L52" i="5"/>
  <c r="M52" i="5"/>
  <c r="P52" i="5" s="1"/>
  <c r="N52" i="5"/>
  <c r="L60" i="5"/>
  <c r="O60" i="5" s="1"/>
  <c r="M60" i="5"/>
  <c r="N60" i="5"/>
  <c r="O63" i="5"/>
  <c r="P63" i="5"/>
  <c r="L64" i="5"/>
  <c r="L62" i="5" s="1"/>
  <c r="M64" i="5"/>
  <c r="M62" i="5" s="1"/>
  <c r="N64" i="5"/>
  <c r="O66" i="5"/>
  <c r="P66" i="5"/>
  <c r="L67" i="5"/>
  <c r="O67" i="5" s="1"/>
  <c r="M67" i="5"/>
  <c r="M65" i="5" s="1"/>
  <c r="P65" i="5" s="1"/>
  <c r="N67" i="5"/>
  <c r="N65" i="5" s="1"/>
  <c r="L73" i="5"/>
  <c r="O73" i="5" s="1"/>
  <c r="M73" i="5"/>
  <c r="P73" i="5" s="1"/>
  <c r="N73" i="5"/>
  <c r="O76" i="5"/>
  <c r="P76" i="5"/>
  <c r="L77" i="5"/>
  <c r="L75" i="5" s="1"/>
  <c r="O75" i="5" s="1"/>
  <c r="M77" i="5"/>
  <c r="M75" i="5" s="1"/>
  <c r="P75" i="5" s="1"/>
  <c r="N77" i="5"/>
  <c r="N75" i="5" s="1"/>
  <c r="O79" i="5"/>
  <c r="P79" i="5"/>
  <c r="L80" i="5"/>
  <c r="L78" i="5" s="1"/>
  <c r="O78" i="5" s="1"/>
  <c r="M80" i="5"/>
  <c r="P80" i="5" s="1"/>
  <c r="N80" i="5"/>
  <c r="N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O95" i="5"/>
  <c r="O98" i="5"/>
  <c r="P98" i="5"/>
  <c r="L99" i="5"/>
  <c r="L97" i="5" s="1"/>
  <c r="O97" i="5" s="1"/>
  <c r="M99" i="5"/>
  <c r="N99" i="5"/>
  <c r="N97" i="5" s="1"/>
  <c r="O101" i="5"/>
  <c r="P101" i="5"/>
  <c r="L102" i="5"/>
  <c r="L100" i="5" s="1"/>
  <c r="O100" i="5" s="1"/>
  <c r="M102" i="5"/>
  <c r="N102" i="5"/>
  <c r="N100" i="5" s="1"/>
  <c r="I108" i="5"/>
  <c r="I92" i="5" s="1"/>
  <c r="K92" i="5" s="1"/>
  <c r="I109" i="5"/>
  <c r="K109" i="5" s="1"/>
  <c r="I117" i="5"/>
  <c r="K117" i="5" s="1"/>
  <c r="L126" i="5"/>
  <c r="O126" i="5" s="1"/>
  <c r="M126" i="5"/>
  <c r="P126" i="5" s="1"/>
  <c r="N126" i="5"/>
  <c r="O129" i="5"/>
  <c r="P129" i="5"/>
  <c r="L130" i="5"/>
  <c r="M130" i="5"/>
  <c r="P130" i="5" s="1"/>
  <c r="N130" i="5"/>
  <c r="N128" i="5" s="1"/>
  <c r="O132" i="5"/>
  <c r="P132" i="5"/>
  <c r="L133" i="5"/>
  <c r="L131" i="5" s="1"/>
  <c r="O131" i="5" s="1"/>
  <c r="M133" i="5"/>
  <c r="N133" i="5"/>
  <c r="N131" i="5" s="1"/>
  <c r="J136" i="5"/>
  <c r="J137" i="5"/>
  <c r="J138" i="5"/>
  <c r="L140" i="5"/>
  <c r="O140" i="5" s="1"/>
  <c r="M140" i="5"/>
  <c r="N140" i="5"/>
  <c r="P140" i="5"/>
  <c r="O143" i="5"/>
  <c r="P143" i="5"/>
  <c r="L144" i="5"/>
  <c r="L142" i="5" s="1"/>
  <c r="M144" i="5"/>
  <c r="N144" i="5"/>
  <c r="O146" i="5"/>
  <c r="P146" i="5"/>
  <c r="L147" i="5"/>
  <c r="L145" i="5" s="1"/>
  <c r="O145" i="5" s="1"/>
  <c r="M147" i="5"/>
  <c r="P147" i="5" s="1"/>
  <c r="N147" i="5"/>
  <c r="N145" i="5" s="1"/>
  <c r="I150" i="5"/>
  <c r="K150" i="5" s="1"/>
  <c r="I151" i="5"/>
  <c r="K151" i="5" s="1"/>
  <c r="I152" i="5"/>
  <c r="I153" i="5"/>
  <c r="I138" i="5" s="1"/>
  <c r="I154" i="5"/>
  <c r="I136" i="5" s="1"/>
  <c r="K136" i="5" s="1"/>
  <c r="J156" i="5"/>
  <c r="L158" i="5"/>
  <c r="M158" i="5"/>
  <c r="N158" i="5"/>
  <c r="O158" i="5"/>
  <c r="P158" i="5"/>
  <c r="O161" i="5"/>
  <c r="P161" i="5"/>
  <c r="L162" i="5"/>
  <c r="L160" i="5" s="1"/>
  <c r="O160" i="5" s="1"/>
  <c r="M162" i="5"/>
  <c r="N162" i="5"/>
  <c r="N160" i="5" s="1"/>
  <c r="O164" i="5"/>
  <c r="P164" i="5"/>
  <c r="L165" i="5"/>
  <c r="O165" i="5" s="1"/>
  <c r="M165" i="5"/>
  <c r="M163" i="5" s="1"/>
  <c r="P163" i="5" s="1"/>
  <c r="N165" i="5"/>
  <c r="N163" i="5" s="1"/>
  <c r="I167" i="5"/>
  <c r="K167" i="5" s="1"/>
  <c r="I168" i="5"/>
  <c r="K168" i="5" s="1"/>
  <c r="I169" i="5"/>
  <c r="K169" i="5" s="1"/>
  <c r="J172" i="5"/>
  <c r="L174" i="5"/>
  <c r="M174" i="5"/>
  <c r="N174" i="5"/>
  <c r="O174" i="5"/>
  <c r="O177" i="5"/>
  <c r="P177" i="5"/>
  <c r="L178" i="5"/>
  <c r="O178" i="5" s="1"/>
  <c r="M178" i="5"/>
  <c r="P178" i="5" s="1"/>
  <c r="N178" i="5"/>
  <c r="N176" i="5" s="1"/>
  <c r="O180" i="5"/>
  <c r="P180" i="5"/>
  <c r="L181" i="5"/>
  <c r="M181" i="5"/>
  <c r="M179" i="5" s="1"/>
  <c r="P179" i="5" s="1"/>
  <c r="N181" i="5"/>
  <c r="N179" i="5" s="1"/>
  <c r="I183" i="5"/>
  <c r="K183" i="5" s="1"/>
  <c r="K184" i="5"/>
  <c r="L187" i="5"/>
  <c r="O187" i="5" s="1"/>
  <c r="M187" i="5"/>
  <c r="N187" i="5"/>
  <c r="P187" i="5"/>
  <c r="O190" i="5"/>
  <c r="P190" i="5"/>
  <c r="L191" i="5"/>
  <c r="M191" i="5"/>
  <c r="N191" i="5"/>
  <c r="N189" i="5" s="1"/>
  <c r="O193" i="5"/>
  <c r="P193" i="5"/>
  <c r="L194" i="5"/>
  <c r="O194" i="5" s="1"/>
  <c r="M194" i="5"/>
  <c r="P194" i="5" s="1"/>
  <c r="N194" i="5"/>
  <c r="N192" i="5" s="1"/>
  <c r="J195" i="5"/>
  <c r="L196" i="5"/>
  <c r="N196" i="5"/>
  <c r="P196" i="5"/>
  <c r="I198" i="5"/>
  <c r="K198" i="5" s="1"/>
  <c r="J199" i="5"/>
  <c r="J202" i="5"/>
  <c r="N203" i="5"/>
  <c r="P203" i="5"/>
  <c r="L204" i="5"/>
  <c r="L205" i="5"/>
  <c r="L206" i="5"/>
  <c r="L207" i="5"/>
  <c r="I209" i="5"/>
  <c r="I211" i="5"/>
  <c r="K211" i="5" s="1"/>
  <c r="I212" i="5"/>
  <c r="K212" i="5" s="1"/>
  <c r="J213" i="5"/>
  <c r="N214" i="5"/>
  <c r="P214" i="5"/>
  <c r="L215" i="5"/>
  <c r="L216" i="5"/>
  <c r="L217" i="5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J231" i="5"/>
  <c r="J185" i="5" s="1"/>
  <c r="N233" i="5"/>
  <c r="N235" i="5"/>
  <c r="N236" i="5"/>
  <c r="J238" i="5"/>
  <c r="J240" i="5"/>
  <c r="J241" i="5"/>
  <c r="J242" i="5"/>
  <c r="P243" i="5"/>
  <c r="L244" i="5"/>
  <c r="L245" i="5"/>
  <c r="N245" i="5"/>
  <c r="N234" i="5" s="1"/>
  <c r="L246" i="5"/>
  <c r="L247" i="5"/>
  <c r="I249" i="5"/>
  <c r="I251" i="5"/>
  <c r="K251" i="5" s="1"/>
  <c r="I252" i="5"/>
  <c r="I241" i="5" s="1"/>
  <c r="K241" i="5" s="1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I265" i="5"/>
  <c r="J265" i="5"/>
  <c r="K265" i="5"/>
  <c r="L267" i="5"/>
  <c r="O267" i="5" s="1"/>
  <c r="M267" i="5"/>
  <c r="N267" i="5"/>
  <c r="O270" i="5"/>
  <c r="P270" i="5"/>
  <c r="L271" i="5"/>
  <c r="L269" i="5" s="1"/>
  <c r="O269" i="5" s="1"/>
  <c r="M271" i="5"/>
  <c r="M269" i="5" s="1"/>
  <c r="P269" i="5" s="1"/>
  <c r="N271" i="5"/>
  <c r="N269" i="5" s="1"/>
  <c r="O273" i="5"/>
  <c r="P273" i="5"/>
  <c r="L274" i="5"/>
  <c r="L272" i="5" s="1"/>
  <c r="O272" i="5" s="1"/>
  <c r="M274" i="5"/>
  <c r="M272" i="5" s="1"/>
  <c r="P272" i="5" s="1"/>
  <c r="N274" i="5"/>
  <c r="N272" i="5" s="1"/>
  <c r="J281" i="5"/>
  <c r="L283" i="5"/>
  <c r="O283" i="5" s="1"/>
  <c r="M283" i="5"/>
  <c r="P283" i="5" s="1"/>
  <c r="N283" i="5"/>
  <c r="O286" i="5"/>
  <c r="P286" i="5"/>
  <c r="L287" i="5"/>
  <c r="O287" i="5" s="1"/>
  <c r="M287" i="5"/>
  <c r="M285" i="5" s="1"/>
  <c r="P285" i="5" s="1"/>
  <c r="N287" i="5"/>
  <c r="O289" i="5"/>
  <c r="P289" i="5"/>
  <c r="L290" i="5"/>
  <c r="O290" i="5" s="1"/>
  <c r="M290" i="5"/>
  <c r="M288" i="5" s="1"/>
  <c r="P288" i="5" s="1"/>
  <c r="N290" i="5"/>
  <c r="N288" i="5" s="1"/>
  <c r="I292" i="5"/>
  <c r="K292" i="5" s="1"/>
  <c r="I293" i="5"/>
  <c r="J293" i="5"/>
  <c r="J280" i="5" s="1"/>
  <c r="I295" i="5"/>
  <c r="K295" i="5" s="1"/>
  <c r="I296" i="5"/>
  <c r="K296" i="5" s="1"/>
  <c r="J302" i="5"/>
  <c r="L304" i="5"/>
  <c r="O304" i="5" s="1"/>
  <c r="M304" i="5"/>
  <c r="N304" i="5"/>
  <c r="O307" i="5"/>
  <c r="P307" i="5"/>
  <c r="L308" i="5"/>
  <c r="M308" i="5"/>
  <c r="M306" i="5" s="1"/>
  <c r="P306" i="5" s="1"/>
  <c r="N308" i="5"/>
  <c r="N306" i="5" s="1"/>
  <c r="O310" i="5"/>
  <c r="P310" i="5"/>
  <c r="L311" i="5"/>
  <c r="L309" i="5" s="1"/>
  <c r="O309" i="5" s="1"/>
  <c r="M311" i="5"/>
  <c r="M309" i="5" s="1"/>
  <c r="P309" i="5" s="1"/>
  <c r="N311" i="5"/>
  <c r="N309" i="5" s="1"/>
  <c r="I314" i="5"/>
  <c r="I315" i="5"/>
  <c r="K315" i="5" s="1"/>
  <c r="I316" i="5"/>
  <c r="K316" i="5" s="1"/>
  <c r="I317" i="5"/>
  <c r="K317" i="5" s="1"/>
  <c r="J319" i="5"/>
  <c r="L321" i="5"/>
  <c r="O321" i="5" s="1"/>
  <c r="M321" i="5"/>
  <c r="P321" i="5" s="1"/>
  <c r="N321" i="5"/>
  <c r="O324" i="5"/>
  <c r="P324" i="5"/>
  <c r="L325" i="5"/>
  <c r="L323" i="5" s="1"/>
  <c r="M325" i="5"/>
  <c r="M323" i="5" s="1"/>
  <c r="N325" i="5"/>
  <c r="N323" i="5" s="1"/>
  <c r="O327" i="5"/>
  <c r="P327" i="5"/>
  <c r="L328" i="5"/>
  <c r="O328" i="5" s="1"/>
  <c r="M328" i="5"/>
  <c r="P328" i="5" s="1"/>
  <c r="N328" i="5"/>
  <c r="N326" i="5" s="1"/>
  <c r="I330" i="5"/>
  <c r="K330" i="5" s="1"/>
  <c r="L334" i="5"/>
  <c r="O334" i="5" s="1"/>
  <c r="M334" i="5"/>
  <c r="P334" i="5" s="1"/>
  <c r="N334" i="5"/>
  <c r="O337" i="5"/>
  <c r="P337" i="5"/>
  <c r="L338" i="5"/>
  <c r="L336" i="5" s="1"/>
  <c r="M338" i="5"/>
  <c r="M336" i="5" s="1"/>
  <c r="N338" i="5"/>
  <c r="O340" i="5"/>
  <c r="P340" i="5"/>
  <c r="L341" i="5"/>
  <c r="L339" i="5" s="1"/>
  <c r="O339" i="5" s="1"/>
  <c r="M341" i="5"/>
  <c r="N341" i="5"/>
  <c r="N339" i="5" s="1"/>
  <c r="I344" i="5"/>
  <c r="J344" i="5"/>
  <c r="I346" i="5"/>
  <c r="J346" i="5"/>
  <c r="J347" i="5"/>
  <c r="J348" i="5"/>
  <c r="J349" i="5"/>
  <c r="D350" i="5"/>
  <c r="J352" i="5"/>
  <c r="J353" i="5"/>
  <c r="D354" i="5"/>
  <c r="L357" i="5"/>
  <c r="M357" i="5"/>
  <c r="P357" i="5" s="1"/>
  <c r="N357" i="5"/>
  <c r="O357" i="5"/>
  <c r="O360" i="5"/>
  <c r="P360" i="5"/>
  <c r="L361" i="5"/>
  <c r="L359" i="5" s="1"/>
  <c r="M361" i="5"/>
  <c r="N361" i="5"/>
  <c r="N359" i="5" s="1"/>
  <c r="O363" i="5"/>
  <c r="P363" i="5"/>
  <c r="L364" i="5"/>
  <c r="L362" i="5" s="1"/>
  <c r="O362" i="5" s="1"/>
  <c r="M364" i="5"/>
  <c r="M362" i="5" s="1"/>
  <c r="P362" i="5" s="1"/>
  <c r="N364" i="5"/>
  <c r="N362" i="5" s="1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I376" i="5"/>
  <c r="K376" i="5" s="1"/>
  <c r="J376" i="5"/>
  <c r="L378" i="5"/>
  <c r="M378" i="5"/>
  <c r="P378" i="5" s="1"/>
  <c r="N378" i="5"/>
  <c r="O378" i="5"/>
  <c r="O381" i="5"/>
  <c r="P381" i="5"/>
  <c r="L382" i="5"/>
  <c r="L380" i="5" s="1"/>
  <c r="O380" i="5" s="1"/>
  <c r="M382" i="5"/>
  <c r="M380" i="5" s="1"/>
  <c r="P380" i="5" s="1"/>
  <c r="N382" i="5"/>
  <c r="O384" i="5"/>
  <c r="P384" i="5"/>
  <c r="L385" i="5"/>
  <c r="L383" i="5" s="1"/>
  <c r="O383" i="5" s="1"/>
  <c r="M385" i="5"/>
  <c r="M383" i="5" s="1"/>
  <c r="P383" i="5" s="1"/>
  <c r="N385" i="5"/>
  <c r="N383" i="5" s="1"/>
  <c r="K387" i="5"/>
  <c r="K388" i="5"/>
  <c r="A391" i="5"/>
  <c r="L22" i="4"/>
  <c r="M22" i="4"/>
  <c r="N22" i="4"/>
  <c r="O22" i="4"/>
  <c r="L25" i="4"/>
  <c r="L19" i="4" s="1"/>
  <c r="M25" i="4"/>
  <c r="P25" i="4" s="1"/>
  <c r="N25" i="4"/>
  <c r="N19" i="4" s="1"/>
  <c r="L45" i="4"/>
  <c r="M45" i="4"/>
  <c r="P45" i="4" s="1"/>
  <c r="N45" i="4"/>
  <c r="O48" i="4"/>
  <c r="P48" i="4"/>
  <c r="L49" i="4"/>
  <c r="M49" i="4"/>
  <c r="M47" i="4" s="1"/>
  <c r="N49" i="4"/>
  <c r="O51" i="4"/>
  <c r="P51" i="4"/>
  <c r="L52" i="4"/>
  <c r="L50" i="4" s="1"/>
  <c r="O50" i="4" s="1"/>
  <c r="M52" i="4"/>
  <c r="M50" i="4" s="1"/>
  <c r="P50" i="4" s="1"/>
  <c r="N52" i="4"/>
  <c r="N50" i="4" s="1"/>
  <c r="L60" i="4"/>
  <c r="O60" i="4" s="1"/>
  <c r="M60" i="4"/>
  <c r="N60" i="4"/>
  <c r="O63" i="4"/>
  <c r="P63" i="4"/>
  <c r="L64" i="4"/>
  <c r="M64" i="4"/>
  <c r="M62" i="4" s="1"/>
  <c r="N64" i="4"/>
  <c r="N62" i="4" s="1"/>
  <c r="O66" i="4"/>
  <c r="P66" i="4"/>
  <c r="L67" i="4"/>
  <c r="O67" i="4" s="1"/>
  <c r="M67" i="4"/>
  <c r="M65" i="4" s="1"/>
  <c r="P65" i="4" s="1"/>
  <c r="N67" i="4"/>
  <c r="N65" i="4" s="1"/>
  <c r="J70" i="4"/>
  <c r="L73" i="4"/>
  <c r="M73" i="4"/>
  <c r="P73" i="4" s="1"/>
  <c r="N73" i="4"/>
  <c r="O76" i="4"/>
  <c r="P76" i="4"/>
  <c r="L77" i="4"/>
  <c r="O77" i="4" s="1"/>
  <c r="M77" i="4"/>
  <c r="N77" i="4"/>
  <c r="N75" i="4" s="1"/>
  <c r="O79" i="4"/>
  <c r="P79" i="4"/>
  <c r="L80" i="4"/>
  <c r="L78" i="4" s="1"/>
  <c r="O78" i="4" s="1"/>
  <c r="M80" i="4"/>
  <c r="N80" i="4"/>
  <c r="N78" i="4" s="1"/>
  <c r="J82" i="4"/>
  <c r="J83" i="4"/>
  <c r="J71" i="4" s="1"/>
  <c r="I84" i="4"/>
  <c r="K84" i="4" s="1"/>
  <c r="I85" i="4"/>
  <c r="K85" i="4" s="1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O95" i="4"/>
  <c r="O98" i="4"/>
  <c r="P98" i="4"/>
  <c r="L99" i="4"/>
  <c r="L97" i="4" s="1"/>
  <c r="O97" i="4" s="1"/>
  <c r="M99" i="4"/>
  <c r="N99" i="4"/>
  <c r="N97" i="4" s="1"/>
  <c r="O101" i="4"/>
  <c r="P101" i="4"/>
  <c r="L102" i="4"/>
  <c r="L100" i="4" s="1"/>
  <c r="O100" i="4" s="1"/>
  <c r="M102" i="4"/>
  <c r="M100" i="4" s="1"/>
  <c r="P100" i="4" s="1"/>
  <c r="N102" i="4"/>
  <c r="N100" i="4" s="1"/>
  <c r="I108" i="4"/>
  <c r="K108" i="4" s="1"/>
  <c r="I109" i="4"/>
  <c r="I93" i="4" s="1"/>
  <c r="K93" i="4" s="1"/>
  <c r="I117" i="4"/>
  <c r="K117" i="4" s="1"/>
  <c r="L126" i="4"/>
  <c r="M126" i="4"/>
  <c r="P126" i="4" s="1"/>
  <c r="N126" i="4"/>
  <c r="O129" i="4"/>
  <c r="P129" i="4"/>
  <c r="L130" i="4"/>
  <c r="L128" i="4" s="1"/>
  <c r="O128" i="4" s="1"/>
  <c r="M130" i="4"/>
  <c r="P130" i="4" s="1"/>
  <c r="N130" i="4"/>
  <c r="N128" i="4" s="1"/>
  <c r="O132" i="4"/>
  <c r="P132" i="4"/>
  <c r="L133" i="4"/>
  <c r="L131" i="4" s="1"/>
  <c r="O131" i="4" s="1"/>
  <c r="M133" i="4"/>
  <c r="P133" i="4" s="1"/>
  <c r="N133" i="4"/>
  <c r="N131" i="4" s="1"/>
  <c r="J136" i="4"/>
  <c r="J137" i="4"/>
  <c r="J138" i="4"/>
  <c r="L140" i="4"/>
  <c r="M140" i="4"/>
  <c r="P140" i="4" s="1"/>
  <c r="N140" i="4"/>
  <c r="O143" i="4"/>
  <c r="P143" i="4"/>
  <c r="L144" i="4"/>
  <c r="L142" i="4" s="1"/>
  <c r="M144" i="4"/>
  <c r="N144" i="4"/>
  <c r="N142" i="4" s="1"/>
  <c r="O146" i="4"/>
  <c r="P146" i="4"/>
  <c r="L147" i="4"/>
  <c r="M147" i="4"/>
  <c r="P147" i="4" s="1"/>
  <c r="N147" i="4"/>
  <c r="N145" i="4" s="1"/>
  <c r="I150" i="4"/>
  <c r="K150" i="4" s="1"/>
  <c r="I151" i="4"/>
  <c r="K151" i="4" s="1"/>
  <c r="I152" i="4"/>
  <c r="I153" i="4"/>
  <c r="I138" i="4" s="1"/>
  <c r="K138" i="4" s="1"/>
  <c r="I154" i="4"/>
  <c r="K154" i="4" s="1"/>
  <c r="J156" i="4"/>
  <c r="L158" i="4"/>
  <c r="O158" i="4" s="1"/>
  <c r="M158" i="4"/>
  <c r="P158" i="4" s="1"/>
  <c r="N158" i="4"/>
  <c r="O161" i="4"/>
  <c r="P161" i="4"/>
  <c r="L162" i="4"/>
  <c r="L160" i="4" s="1"/>
  <c r="M162" i="4"/>
  <c r="N162" i="4"/>
  <c r="N160" i="4" s="1"/>
  <c r="O164" i="4"/>
  <c r="P164" i="4"/>
  <c r="L165" i="4"/>
  <c r="L163" i="4" s="1"/>
  <c r="O163" i="4" s="1"/>
  <c r="M165" i="4"/>
  <c r="N165" i="4"/>
  <c r="N163" i="4" s="1"/>
  <c r="I167" i="4"/>
  <c r="K167" i="4" s="1"/>
  <c r="J172" i="4"/>
  <c r="L174" i="4"/>
  <c r="O174" i="4" s="1"/>
  <c r="M174" i="4"/>
  <c r="N174" i="4"/>
  <c r="P174" i="4"/>
  <c r="O177" i="4"/>
  <c r="P177" i="4"/>
  <c r="L178" i="4"/>
  <c r="L176" i="4" s="1"/>
  <c r="M178" i="4"/>
  <c r="N178" i="4"/>
  <c r="O180" i="4"/>
  <c r="P180" i="4"/>
  <c r="L181" i="4"/>
  <c r="L179" i="4" s="1"/>
  <c r="O179" i="4" s="1"/>
  <c r="M181" i="4"/>
  <c r="N181" i="4"/>
  <c r="N179" i="4" s="1"/>
  <c r="I183" i="4"/>
  <c r="K183" i="4" s="1"/>
  <c r="K184" i="4"/>
  <c r="L187" i="4"/>
  <c r="O187" i="4" s="1"/>
  <c r="M187" i="4"/>
  <c r="P187" i="4" s="1"/>
  <c r="N187" i="4"/>
  <c r="O190" i="4"/>
  <c r="P190" i="4"/>
  <c r="L191" i="4"/>
  <c r="L189" i="4" s="1"/>
  <c r="M191" i="4"/>
  <c r="N191" i="4"/>
  <c r="N189" i="4" s="1"/>
  <c r="O193" i="4"/>
  <c r="P193" i="4"/>
  <c r="L194" i="4"/>
  <c r="L192" i="4" s="1"/>
  <c r="O192" i="4" s="1"/>
  <c r="M194" i="4"/>
  <c r="M192" i="4" s="1"/>
  <c r="P192" i="4" s="1"/>
  <c r="N194" i="4"/>
  <c r="N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L204" i="4"/>
  <c r="L205" i="4"/>
  <c r="L206" i="4"/>
  <c r="L207" i="4"/>
  <c r="I209" i="4"/>
  <c r="I202" i="4" s="1"/>
  <c r="K202" i="4" s="1"/>
  <c r="I211" i="4"/>
  <c r="K211" i="4" s="1"/>
  <c r="I212" i="4"/>
  <c r="K212" i="4" s="1"/>
  <c r="J213" i="4"/>
  <c r="N214" i="4"/>
  <c r="P214" i="4"/>
  <c r="L215" i="4"/>
  <c r="L216" i="4"/>
  <c r="L217" i="4"/>
  <c r="I219" i="4"/>
  <c r="K219" i="4" s="1"/>
  <c r="I220" i="4"/>
  <c r="I213" i="4" s="1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N233" i="4"/>
  <c r="N234" i="4"/>
  <c r="N235" i="4"/>
  <c r="N236" i="4"/>
  <c r="J238" i="4"/>
  <c r="J240" i="4"/>
  <c r="J241" i="4"/>
  <c r="J242" i="4"/>
  <c r="J231" i="4" s="1"/>
  <c r="J185" i="4" s="1"/>
  <c r="N243" i="4"/>
  <c r="P243" i="4"/>
  <c r="L244" i="4"/>
  <c r="L245" i="4"/>
  <c r="L246" i="4"/>
  <c r="L247" i="4"/>
  <c r="I249" i="4"/>
  <c r="K249" i="4" s="1"/>
  <c r="I251" i="4"/>
  <c r="K251" i="4" s="1"/>
  <c r="I252" i="4"/>
  <c r="K252" i="4" s="1"/>
  <c r="J253" i="4"/>
  <c r="N254" i="4"/>
  <c r="P254" i="4"/>
  <c r="L255" i="4"/>
  <c r="L256" i="4"/>
  <c r="L257" i="4"/>
  <c r="L258" i="4"/>
  <c r="I260" i="4"/>
  <c r="K260" i="4" s="1"/>
  <c r="I262" i="4"/>
  <c r="K262" i="4" s="1"/>
  <c r="I263" i="4"/>
  <c r="K263" i="4" s="1"/>
  <c r="I265" i="4"/>
  <c r="J265" i="4"/>
  <c r="K265" i="4"/>
  <c r="L267" i="4"/>
  <c r="M267" i="4"/>
  <c r="N267" i="4"/>
  <c r="O270" i="4"/>
  <c r="P270" i="4"/>
  <c r="L271" i="4"/>
  <c r="O271" i="4" s="1"/>
  <c r="M271" i="4"/>
  <c r="M269" i="4" s="1"/>
  <c r="P269" i="4" s="1"/>
  <c r="N271" i="4"/>
  <c r="N269" i="4" s="1"/>
  <c r="O273" i="4"/>
  <c r="P273" i="4"/>
  <c r="L274" i="4"/>
  <c r="O274" i="4" s="1"/>
  <c r="M274" i="4"/>
  <c r="M272" i="4" s="1"/>
  <c r="P272" i="4" s="1"/>
  <c r="N274" i="4"/>
  <c r="N272" i="4" s="1"/>
  <c r="J281" i="4"/>
  <c r="L283" i="4"/>
  <c r="M283" i="4"/>
  <c r="P283" i="4" s="1"/>
  <c r="N283" i="4"/>
  <c r="O283" i="4"/>
  <c r="O286" i="4"/>
  <c r="P286" i="4"/>
  <c r="L287" i="4"/>
  <c r="L285" i="4" s="1"/>
  <c r="O285" i="4" s="1"/>
  <c r="M287" i="4"/>
  <c r="M285" i="4" s="1"/>
  <c r="P285" i="4" s="1"/>
  <c r="N287" i="4"/>
  <c r="N285" i="4" s="1"/>
  <c r="O289" i="4"/>
  <c r="P289" i="4"/>
  <c r="L290" i="4"/>
  <c r="L288" i="4" s="1"/>
  <c r="O288" i="4" s="1"/>
  <c r="M290" i="4"/>
  <c r="M288" i="4" s="1"/>
  <c r="P288" i="4" s="1"/>
  <c r="N290" i="4"/>
  <c r="I292" i="4"/>
  <c r="K292" i="4" s="1"/>
  <c r="I293" i="4"/>
  <c r="I280" i="4" s="1"/>
  <c r="K280" i="4" s="1"/>
  <c r="J293" i="4"/>
  <c r="J280" i="4" s="1"/>
  <c r="I295" i="4"/>
  <c r="K295" i="4" s="1"/>
  <c r="I296" i="4"/>
  <c r="K296" i="4" s="1"/>
  <c r="J302" i="4"/>
  <c r="L304" i="4"/>
  <c r="M304" i="4"/>
  <c r="P304" i="4" s="1"/>
  <c r="N304" i="4"/>
  <c r="O307" i="4"/>
  <c r="P307" i="4"/>
  <c r="L308" i="4"/>
  <c r="M308" i="4"/>
  <c r="M306" i="4" s="1"/>
  <c r="N308" i="4"/>
  <c r="O310" i="4"/>
  <c r="P310" i="4"/>
  <c r="L311" i="4"/>
  <c r="O311" i="4" s="1"/>
  <c r="M311" i="4"/>
  <c r="M309" i="4" s="1"/>
  <c r="P309" i="4" s="1"/>
  <c r="N311" i="4"/>
  <c r="N309" i="4" s="1"/>
  <c r="I314" i="4"/>
  <c r="I302" i="4" s="1"/>
  <c r="K302" i="4" s="1"/>
  <c r="I315" i="4"/>
  <c r="K315" i="4" s="1"/>
  <c r="I316" i="4"/>
  <c r="K316" i="4" s="1"/>
  <c r="I317" i="4"/>
  <c r="K317" i="4" s="1"/>
  <c r="J319" i="4"/>
  <c r="L321" i="4"/>
  <c r="O321" i="4" s="1"/>
  <c r="M321" i="4"/>
  <c r="N321" i="4"/>
  <c r="P321" i="4"/>
  <c r="O324" i="4"/>
  <c r="P324" i="4"/>
  <c r="L325" i="4"/>
  <c r="M325" i="4"/>
  <c r="M323" i="4" s="1"/>
  <c r="P323" i="4" s="1"/>
  <c r="N325" i="4"/>
  <c r="N323" i="4" s="1"/>
  <c r="O327" i="4"/>
  <c r="P327" i="4"/>
  <c r="L328" i="4"/>
  <c r="L326" i="4" s="1"/>
  <c r="O326" i="4" s="1"/>
  <c r="M328" i="4"/>
  <c r="P328" i="4" s="1"/>
  <c r="N328" i="4"/>
  <c r="N326" i="4" s="1"/>
  <c r="I330" i="4"/>
  <c r="I319" i="4" s="1"/>
  <c r="K319" i="4" s="1"/>
  <c r="L334" i="4"/>
  <c r="M334" i="4"/>
  <c r="N334" i="4"/>
  <c r="O337" i="4"/>
  <c r="P337" i="4"/>
  <c r="L338" i="4"/>
  <c r="M338" i="4"/>
  <c r="N338" i="4"/>
  <c r="O340" i="4"/>
  <c r="P340" i="4"/>
  <c r="L341" i="4"/>
  <c r="O341" i="4" s="1"/>
  <c r="M341" i="4"/>
  <c r="P341" i="4" s="1"/>
  <c r="N341" i="4"/>
  <c r="N339" i="4" s="1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M357" i="4"/>
  <c r="N357" i="4"/>
  <c r="P357" i="4"/>
  <c r="O360" i="4"/>
  <c r="P360" i="4"/>
  <c r="L361" i="4"/>
  <c r="M361" i="4"/>
  <c r="N361" i="4"/>
  <c r="N359" i="4" s="1"/>
  <c r="O363" i="4"/>
  <c r="P363" i="4"/>
  <c r="L364" i="4"/>
  <c r="O364" i="4" s="1"/>
  <c r="M364" i="4"/>
  <c r="P364" i="4" s="1"/>
  <c r="N364" i="4"/>
  <c r="N362" i="4" s="1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I376" i="4"/>
  <c r="K376" i="4" s="1"/>
  <c r="J376" i="4"/>
  <c r="L378" i="4"/>
  <c r="M378" i="4"/>
  <c r="P378" i="4" s="1"/>
  <c r="N378" i="4"/>
  <c r="O378" i="4"/>
  <c r="O381" i="4"/>
  <c r="P381" i="4"/>
  <c r="L382" i="4"/>
  <c r="O382" i="4" s="1"/>
  <c r="M382" i="4"/>
  <c r="N382" i="4"/>
  <c r="N380" i="4" s="1"/>
  <c r="O384" i="4"/>
  <c r="P384" i="4"/>
  <c r="L385" i="4"/>
  <c r="O385" i="4" s="1"/>
  <c r="M385" i="4"/>
  <c r="M383" i="4" s="1"/>
  <c r="P383" i="4" s="1"/>
  <c r="N385" i="4"/>
  <c r="N383" i="4" s="1"/>
  <c r="K387" i="4"/>
  <c r="K388" i="4"/>
  <c r="J392" i="4"/>
  <c r="K392" i="4" s="1"/>
  <c r="J393" i="4"/>
  <c r="K393" i="4"/>
  <c r="O394" i="4"/>
  <c r="P394" i="4"/>
  <c r="O395" i="4"/>
  <c r="P395" i="4"/>
  <c r="O396" i="4"/>
  <c r="P396" i="4"/>
  <c r="O397" i="4"/>
  <c r="P397" i="4"/>
  <c r="O398" i="4"/>
  <c r="P398" i="4"/>
  <c r="O399" i="4"/>
  <c r="P399" i="4"/>
  <c r="O400" i="4"/>
  <c r="P400" i="4"/>
  <c r="O401" i="4"/>
  <c r="P401" i="4"/>
  <c r="O402" i="4"/>
  <c r="P402" i="4"/>
  <c r="K406" i="4"/>
  <c r="K408" i="4"/>
  <c r="K409" i="4"/>
  <c r="K410" i="4"/>
  <c r="J413" i="4"/>
  <c r="K413" i="4"/>
  <c r="J414" i="4"/>
  <c r="K414" i="4"/>
  <c r="O415" i="4"/>
  <c r="P415" i="4"/>
  <c r="O416" i="4"/>
  <c r="P416" i="4"/>
  <c r="O417" i="4"/>
  <c r="P417" i="4"/>
  <c r="O418" i="4"/>
  <c r="P418" i="4"/>
  <c r="O419" i="4"/>
  <c r="P419" i="4"/>
  <c r="O420" i="4"/>
  <c r="P420" i="4"/>
  <c r="O421" i="4"/>
  <c r="P421" i="4"/>
  <c r="O422" i="4"/>
  <c r="P422" i="4"/>
  <c r="O423" i="4"/>
  <c r="P423" i="4"/>
  <c r="K425" i="4"/>
  <c r="K427" i="4"/>
  <c r="K429" i="4"/>
  <c r="J432" i="4"/>
  <c r="K432" i="4" s="1"/>
  <c r="J433" i="4"/>
  <c r="K433" i="4" s="1"/>
  <c r="O434" i="4"/>
  <c r="P434" i="4"/>
  <c r="O435" i="4"/>
  <c r="P435" i="4"/>
  <c r="O436" i="4"/>
  <c r="P436" i="4"/>
  <c r="O437" i="4"/>
  <c r="P437" i="4"/>
  <c r="O438" i="4"/>
  <c r="P438" i="4"/>
  <c r="O439" i="4"/>
  <c r="P439" i="4"/>
  <c r="M440" i="4"/>
  <c r="P440" i="4" s="1"/>
  <c r="N440" i="4"/>
  <c r="O441" i="4"/>
  <c r="P441" i="4"/>
  <c r="L442" i="4"/>
  <c r="O442" i="4" s="1"/>
  <c r="P442" i="4"/>
  <c r="K446" i="4"/>
  <c r="K448" i="4"/>
  <c r="K450" i="4"/>
  <c r="K452" i="4"/>
  <c r="K455" i="4"/>
  <c r="K458" i="4"/>
  <c r="K461" i="4"/>
  <c r="J465" i="4"/>
  <c r="K465" i="4"/>
  <c r="O466" i="4"/>
  <c r="P466" i="4"/>
  <c r="O467" i="4"/>
  <c r="P467" i="4"/>
  <c r="O468" i="4"/>
  <c r="P468" i="4"/>
  <c r="O469" i="4"/>
  <c r="P469" i="4"/>
  <c r="O470" i="4"/>
  <c r="P470" i="4"/>
  <c r="O471" i="4"/>
  <c r="P471" i="4"/>
  <c r="O472" i="4"/>
  <c r="P472" i="4"/>
  <c r="O473" i="4"/>
  <c r="P473" i="4"/>
  <c r="O474" i="4"/>
  <c r="P474" i="4"/>
  <c r="K476" i="4"/>
  <c r="K477" i="4"/>
  <c r="K478" i="4"/>
  <c r="K479" i="4"/>
  <c r="K480" i="4"/>
  <c r="K481" i="4"/>
  <c r="K482" i="4"/>
  <c r="I483" i="4"/>
  <c r="J483" i="4"/>
  <c r="K483" i="4"/>
  <c r="O484" i="4"/>
  <c r="P484" i="4"/>
  <c r="O485" i="4"/>
  <c r="P485" i="4"/>
  <c r="O486" i="4"/>
  <c r="P486" i="4"/>
  <c r="O487" i="4"/>
  <c r="P487" i="4"/>
  <c r="O488" i="4"/>
  <c r="P488" i="4"/>
  <c r="O489" i="4"/>
  <c r="P489" i="4"/>
  <c r="O490" i="4"/>
  <c r="P490" i="4"/>
  <c r="O491" i="4"/>
  <c r="P491" i="4"/>
  <c r="O492" i="4"/>
  <c r="P492" i="4"/>
  <c r="K494" i="4"/>
  <c r="K495" i="4"/>
  <c r="K496" i="4"/>
  <c r="K498" i="4"/>
  <c r="K499" i="4"/>
  <c r="K501" i="4"/>
  <c r="K502" i="4"/>
  <c r="K503" i="4"/>
  <c r="K504" i="4"/>
  <c r="I506" i="4"/>
  <c r="J506" i="4"/>
  <c r="K506" i="4"/>
  <c r="O507" i="4"/>
  <c r="P507" i="4"/>
  <c r="O508" i="4"/>
  <c r="P508" i="4"/>
  <c r="O509" i="4"/>
  <c r="P509" i="4"/>
  <c r="O510" i="4"/>
  <c r="P510" i="4"/>
  <c r="O511" i="4"/>
  <c r="P511" i="4"/>
  <c r="O512" i="4"/>
  <c r="P512" i="4"/>
  <c r="O513" i="4"/>
  <c r="P513" i="4"/>
  <c r="O514" i="4"/>
  <c r="P514" i="4"/>
  <c r="O515" i="4"/>
  <c r="P515" i="4"/>
  <c r="K517" i="4"/>
  <c r="K518" i="4"/>
  <c r="K519" i="4"/>
  <c r="K520" i="4"/>
  <c r="K521" i="4"/>
  <c r="K522" i="4"/>
  <c r="K523" i="4"/>
  <c r="K526" i="4"/>
  <c r="O533" i="4"/>
  <c r="P533" i="4"/>
  <c r="O534" i="4"/>
  <c r="P534" i="4"/>
  <c r="O535" i="4"/>
  <c r="P535" i="4"/>
  <c r="O536" i="4"/>
  <c r="P536" i="4"/>
  <c r="O538" i="4"/>
  <c r="P538" i="4"/>
  <c r="O539" i="4"/>
  <c r="P539" i="4"/>
  <c r="O540" i="4"/>
  <c r="P540" i="4"/>
  <c r="O541" i="4"/>
  <c r="P541" i="4"/>
  <c r="K543" i="4"/>
  <c r="K544" i="4"/>
  <c r="K545" i="4"/>
  <c r="K552" i="4"/>
  <c r="K564" i="4"/>
  <c r="K565" i="4"/>
  <c r="K566" i="4"/>
  <c r="K567" i="4"/>
  <c r="K569" i="4"/>
  <c r="K570" i="4"/>
  <c r="K572" i="4"/>
  <c r="K573" i="4"/>
  <c r="J580" i="4"/>
  <c r="K580" i="4"/>
  <c r="O582" i="4"/>
  <c r="P582" i="4"/>
  <c r="O583" i="4"/>
  <c r="P583" i="4"/>
  <c r="O584" i="4"/>
  <c r="P584" i="4"/>
  <c r="O585" i="4"/>
  <c r="P585" i="4"/>
  <c r="O586" i="4"/>
  <c r="P586" i="4"/>
  <c r="O587" i="4"/>
  <c r="P587" i="4"/>
  <c r="O588" i="4"/>
  <c r="P588" i="4"/>
  <c r="O589" i="4"/>
  <c r="P589" i="4"/>
  <c r="O590" i="4"/>
  <c r="P590" i="4"/>
  <c r="A596" i="4"/>
  <c r="L22" i="3"/>
  <c r="M22" i="3"/>
  <c r="N22" i="3"/>
  <c r="O22" i="3"/>
  <c r="P22" i="3"/>
  <c r="L25" i="3"/>
  <c r="O25" i="3" s="1"/>
  <c r="M25" i="3"/>
  <c r="N25" i="3"/>
  <c r="N19" i="3" s="1"/>
  <c r="L45" i="3"/>
  <c r="M45" i="3"/>
  <c r="N45" i="3"/>
  <c r="P45" i="3"/>
  <c r="O48" i="3"/>
  <c r="P48" i="3"/>
  <c r="L49" i="3"/>
  <c r="L47" i="3" s="1"/>
  <c r="M49" i="3"/>
  <c r="M47" i="3" s="1"/>
  <c r="N49" i="3"/>
  <c r="O51" i="3"/>
  <c r="P51" i="3"/>
  <c r="L52" i="3"/>
  <c r="M52" i="3"/>
  <c r="P52" i="3" s="1"/>
  <c r="N52" i="3"/>
  <c r="N50" i="3" s="1"/>
  <c r="L60" i="3"/>
  <c r="O60" i="3" s="1"/>
  <c r="M60" i="3"/>
  <c r="P60" i="3" s="1"/>
  <c r="N60" i="3"/>
  <c r="O63" i="3"/>
  <c r="P63" i="3"/>
  <c r="L64" i="3"/>
  <c r="L62" i="3" s="1"/>
  <c r="M64" i="3"/>
  <c r="N64" i="3"/>
  <c r="O66" i="3"/>
  <c r="P66" i="3"/>
  <c r="L67" i="3"/>
  <c r="L65" i="3" s="1"/>
  <c r="O65" i="3" s="1"/>
  <c r="M67" i="3"/>
  <c r="M65" i="3" s="1"/>
  <c r="P65" i="3" s="1"/>
  <c r="N67" i="3"/>
  <c r="N65" i="3" s="1"/>
  <c r="J71" i="3"/>
  <c r="L73" i="3"/>
  <c r="M73" i="3"/>
  <c r="P73" i="3" s="1"/>
  <c r="N73" i="3"/>
  <c r="O76" i="3"/>
  <c r="P76" i="3"/>
  <c r="L77" i="3"/>
  <c r="M77" i="3"/>
  <c r="M75" i="3" s="1"/>
  <c r="P75" i="3" s="1"/>
  <c r="N77" i="3"/>
  <c r="N75" i="3" s="1"/>
  <c r="O79" i="3"/>
  <c r="P79" i="3"/>
  <c r="L80" i="3"/>
  <c r="O80" i="3" s="1"/>
  <c r="M80" i="3"/>
  <c r="P80" i="3" s="1"/>
  <c r="N80" i="3"/>
  <c r="N78" i="3" s="1"/>
  <c r="J82" i="3"/>
  <c r="J70" i="3" s="1"/>
  <c r="J83" i="3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N95" i="3"/>
  <c r="O98" i="3"/>
  <c r="P98" i="3"/>
  <c r="L99" i="3"/>
  <c r="M99" i="3"/>
  <c r="P99" i="3" s="1"/>
  <c r="N99" i="3"/>
  <c r="N97" i="3" s="1"/>
  <c r="O101" i="3"/>
  <c r="P101" i="3"/>
  <c r="L102" i="3"/>
  <c r="M102" i="3"/>
  <c r="P102" i="3" s="1"/>
  <c r="N102" i="3"/>
  <c r="N100" i="3" s="1"/>
  <c r="I108" i="3"/>
  <c r="I92" i="3" s="1"/>
  <c r="K92" i="3" s="1"/>
  <c r="I109" i="3"/>
  <c r="I117" i="3"/>
  <c r="K117" i="3" s="1"/>
  <c r="L126" i="3"/>
  <c r="M126" i="3"/>
  <c r="N126" i="3"/>
  <c r="O126" i="3"/>
  <c r="P126" i="3"/>
  <c r="O129" i="3"/>
  <c r="P129" i="3"/>
  <c r="L130" i="3"/>
  <c r="M130" i="3"/>
  <c r="M128" i="3" s="1"/>
  <c r="P128" i="3" s="1"/>
  <c r="N130" i="3"/>
  <c r="O132" i="3"/>
  <c r="P132" i="3"/>
  <c r="L133" i="3"/>
  <c r="L131" i="3" s="1"/>
  <c r="O131" i="3" s="1"/>
  <c r="M133" i="3"/>
  <c r="M131" i="3" s="1"/>
  <c r="P131" i="3" s="1"/>
  <c r="N133" i="3"/>
  <c r="N131" i="3" s="1"/>
  <c r="J136" i="3"/>
  <c r="J137" i="3"/>
  <c r="J138" i="3"/>
  <c r="L140" i="3"/>
  <c r="O140" i="3" s="1"/>
  <c r="M140" i="3"/>
  <c r="N140" i="3"/>
  <c r="P140" i="3"/>
  <c r="O143" i="3"/>
  <c r="P143" i="3"/>
  <c r="L144" i="3"/>
  <c r="L142" i="3" s="1"/>
  <c r="O142" i="3" s="1"/>
  <c r="M144" i="3"/>
  <c r="M142" i="3" s="1"/>
  <c r="P142" i="3" s="1"/>
  <c r="N144" i="3"/>
  <c r="N142" i="3" s="1"/>
  <c r="O146" i="3"/>
  <c r="P146" i="3"/>
  <c r="L147" i="3"/>
  <c r="L145" i="3" s="1"/>
  <c r="O145" i="3" s="1"/>
  <c r="M147" i="3"/>
  <c r="M145" i="3" s="1"/>
  <c r="P145" i="3" s="1"/>
  <c r="N147" i="3"/>
  <c r="N145" i="3" s="1"/>
  <c r="I150" i="3"/>
  <c r="K150" i="3" s="1"/>
  <c r="I151" i="3"/>
  <c r="K151" i="3" s="1"/>
  <c r="I152" i="3"/>
  <c r="I137" i="3" s="1"/>
  <c r="K137" i="3" s="1"/>
  <c r="I153" i="3"/>
  <c r="I138" i="3" s="1"/>
  <c r="K138" i="3" s="1"/>
  <c r="I154" i="3"/>
  <c r="I136" i="3" s="1"/>
  <c r="K136" i="3" s="1"/>
  <c r="J156" i="3"/>
  <c r="L158" i="3"/>
  <c r="M158" i="3"/>
  <c r="N158" i="3"/>
  <c r="P158" i="3"/>
  <c r="O161" i="3"/>
  <c r="P161" i="3"/>
  <c r="L162" i="3"/>
  <c r="O162" i="3" s="1"/>
  <c r="M162" i="3"/>
  <c r="M160" i="3" s="1"/>
  <c r="P160" i="3" s="1"/>
  <c r="N162" i="3"/>
  <c r="O164" i="3"/>
  <c r="P164" i="3"/>
  <c r="L165" i="3"/>
  <c r="O165" i="3" s="1"/>
  <c r="M165" i="3"/>
  <c r="P165" i="3" s="1"/>
  <c r="N165" i="3"/>
  <c r="N163" i="3" s="1"/>
  <c r="I167" i="3"/>
  <c r="K167" i="3" s="1"/>
  <c r="I168" i="3"/>
  <c r="K168" i="3" s="1"/>
  <c r="I169" i="3"/>
  <c r="K169" i="3" s="1"/>
  <c r="J172" i="3"/>
  <c r="L174" i="3"/>
  <c r="M174" i="3"/>
  <c r="N174" i="3"/>
  <c r="P174" i="3"/>
  <c r="O177" i="3"/>
  <c r="P177" i="3"/>
  <c r="L178" i="3"/>
  <c r="L176" i="3" s="1"/>
  <c r="M178" i="3"/>
  <c r="M176" i="3" s="1"/>
  <c r="N178" i="3"/>
  <c r="O180" i="3"/>
  <c r="P180" i="3"/>
  <c r="L181" i="3"/>
  <c r="O181" i="3" s="1"/>
  <c r="M181" i="3"/>
  <c r="P181" i="3" s="1"/>
  <c r="N181" i="3"/>
  <c r="N179" i="3" s="1"/>
  <c r="I183" i="3"/>
  <c r="I172" i="3" s="1"/>
  <c r="K184" i="3"/>
  <c r="L187" i="3"/>
  <c r="O187" i="3" s="1"/>
  <c r="M187" i="3"/>
  <c r="P187" i="3" s="1"/>
  <c r="N187" i="3"/>
  <c r="O190" i="3"/>
  <c r="P190" i="3"/>
  <c r="L191" i="3"/>
  <c r="L189" i="3" s="1"/>
  <c r="M191" i="3"/>
  <c r="M189" i="3" s="1"/>
  <c r="N191" i="3"/>
  <c r="O193" i="3"/>
  <c r="P193" i="3"/>
  <c r="L194" i="3"/>
  <c r="L192" i="3" s="1"/>
  <c r="O192" i="3" s="1"/>
  <c r="M194" i="3"/>
  <c r="P194" i="3" s="1"/>
  <c r="N194" i="3"/>
  <c r="N192" i="3" s="1"/>
  <c r="J195" i="3"/>
  <c r="L196" i="3"/>
  <c r="O196" i="3" s="1"/>
  <c r="P196" i="3"/>
  <c r="I198" i="3"/>
  <c r="I195" i="3" s="1"/>
  <c r="K195" i="3" s="1"/>
  <c r="J199" i="3"/>
  <c r="J202" i="3"/>
  <c r="N203" i="3"/>
  <c r="P203" i="3"/>
  <c r="L204" i="3"/>
  <c r="L205" i="3"/>
  <c r="L206" i="3"/>
  <c r="L207" i="3"/>
  <c r="I209" i="3"/>
  <c r="K209" i="3" s="1"/>
  <c r="I211" i="3"/>
  <c r="K211" i="3" s="1"/>
  <c r="I212" i="3"/>
  <c r="K212" i="3" s="1"/>
  <c r="J213" i="3"/>
  <c r="N214" i="3"/>
  <c r="P214" i="3"/>
  <c r="L215" i="3"/>
  <c r="L216" i="3"/>
  <c r="L217" i="3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K229" i="3" s="1"/>
  <c r="I230" i="3"/>
  <c r="K230" i="3" s="1"/>
  <c r="J231" i="3"/>
  <c r="J185" i="3" s="1"/>
  <c r="N233" i="3"/>
  <c r="N234" i="3"/>
  <c r="N235" i="3"/>
  <c r="N236" i="3"/>
  <c r="J238" i="3"/>
  <c r="J240" i="3"/>
  <c r="J241" i="3"/>
  <c r="J242" i="3"/>
  <c r="N243" i="3"/>
  <c r="P243" i="3"/>
  <c r="L244" i="3"/>
  <c r="L245" i="3"/>
  <c r="L246" i="3"/>
  <c r="L247" i="3"/>
  <c r="I249" i="3"/>
  <c r="I242" i="3" s="1"/>
  <c r="I251" i="3"/>
  <c r="I240" i="3" s="1"/>
  <c r="K240" i="3" s="1"/>
  <c r="I252" i="3"/>
  <c r="I241" i="3" s="1"/>
  <c r="J253" i="3"/>
  <c r="N254" i="3"/>
  <c r="P254" i="3"/>
  <c r="L255" i="3"/>
  <c r="L256" i="3"/>
  <c r="L257" i="3"/>
  <c r="L258" i="3"/>
  <c r="I260" i="3"/>
  <c r="K262" i="3"/>
  <c r="K263" i="3"/>
  <c r="I265" i="3"/>
  <c r="K265" i="3" s="1"/>
  <c r="J265" i="3"/>
  <c r="L267" i="3"/>
  <c r="M267" i="3"/>
  <c r="P267" i="3" s="1"/>
  <c r="N267" i="3"/>
  <c r="O270" i="3"/>
  <c r="P270" i="3"/>
  <c r="L271" i="3"/>
  <c r="M271" i="3"/>
  <c r="P271" i="3" s="1"/>
  <c r="N271" i="3"/>
  <c r="O273" i="3"/>
  <c r="P273" i="3"/>
  <c r="L274" i="3"/>
  <c r="M274" i="3"/>
  <c r="M272" i="3" s="1"/>
  <c r="P272" i="3" s="1"/>
  <c r="N274" i="3"/>
  <c r="N272" i="3" s="1"/>
  <c r="J281" i="3"/>
  <c r="L283" i="3"/>
  <c r="M283" i="3"/>
  <c r="N283" i="3"/>
  <c r="O283" i="3"/>
  <c r="P283" i="3"/>
  <c r="O286" i="3"/>
  <c r="P286" i="3"/>
  <c r="L287" i="3"/>
  <c r="M287" i="3"/>
  <c r="N287" i="3"/>
  <c r="O289" i="3"/>
  <c r="P289" i="3"/>
  <c r="L290" i="3"/>
  <c r="O290" i="3" s="1"/>
  <c r="M290" i="3"/>
  <c r="P290" i="3" s="1"/>
  <c r="N290" i="3"/>
  <c r="N288" i="3" s="1"/>
  <c r="I292" i="3"/>
  <c r="I281" i="3" s="1"/>
  <c r="K281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M304" i="3"/>
  <c r="P304" i="3" s="1"/>
  <c r="N304" i="3"/>
  <c r="O307" i="3"/>
  <c r="P307" i="3"/>
  <c r="L308" i="3"/>
  <c r="L306" i="3" s="1"/>
  <c r="O306" i="3" s="1"/>
  <c r="M308" i="3"/>
  <c r="P308" i="3" s="1"/>
  <c r="N308" i="3"/>
  <c r="N306" i="3" s="1"/>
  <c r="O310" i="3"/>
  <c r="P310" i="3"/>
  <c r="L311" i="3"/>
  <c r="L309" i="3" s="1"/>
  <c r="O309" i="3" s="1"/>
  <c r="M311" i="3"/>
  <c r="M309" i="3" s="1"/>
  <c r="P309" i="3" s="1"/>
  <c r="N311" i="3"/>
  <c r="N309" i="3" s="1"/>
  <c r="I314" i="3"/>
  <c r="I302" i="3" s="1"/>
  <c r="K302" i="3" s="1"/>
  <c r="I315" i="3"/>
  <c r="K315" i="3" s="1"/>
  <c r="I316" i="3"/>
  <c r="K316" i="3" s="1"/>
  <c r="I317" i="3"/>
  <c r="K317" i="3" s="1"/>
  <c r="J319" i="3"/>
  <c r="L321" i="3"/>
  <c r="O321" i="3" s="1"/>
  <c r="M321" i="3"/>
  <c r="N321" i="3"/>
  <c r="O324" i="3"/>
  <c r="P324" i="3"/>
  <c r="L325" i="3"/>
  <c r="O325" i="3" s="1"/>
  <c r="M325" i="3"/>
  <c r="M323" i="3" s="1"/>
  <c r="P323" i="3" s="1"/>
  <c r="N325" i="3"/>
  <c r="N323" i="3" s="1"/>
  <c r="O327" i="3"/>
  <c r="P327" i="3"/>
  <c r="L328" i="3"/>
  <c r="O328" i="3" s="1"/>
  <c r="M328" i="3"/>
  <c r="P328" i="3" s="1"/>
  <c r="N328" i="3"/>
  <c r="N326" i="3" s="1"/>
  <c r="I330" i="3"/>
  <c r="I319" i="3" s="1"/>
  <c r="K319" i="3" s="1"/>
  <c r="L334" i="3"/>
  <c r="O334" i="3" s="1"/>
  <c r="M334" i="3"/>
  <c r="P334" i="3" s="1"/>
  <c r="N334" i="3"/>
  <c r="O337" i="3"/>
  <c r="P337" i="3"/>
  <c r="L338" i="3"/>
  <c r="M338" i="3"/>
  <c r="N338" i="3"/>
  <c r="O340" i="3"/>
  <c r="P340" i="3"/>
  <c r="L341" i="3"/>
  <c r="O341" i="3" s="1"/>
  <c r="M341" i="3"/>
  <c r="P341" i="3" s="1"/>
  <c r="N341" i="3"/>
  <c r="N339" i="3" s="1"/>
  <c r="I344" i="3"/>
  <c r="I332" i="3" s="1"/>
  <c r="J344" i="3"/>
  <c r="I346" i="3"/>
  <c r="J346" i="3"/>
  <c r="J347" i="3"/>
  <c r="J348" i="3"/>
  <c r="J349" i="3"/>
  <c r="D350" i="3"/>
  <c r="J352" i="3"/>
  <c r="J353" i="3"/>
  <c r="D354" i="3"/>
  <c r="L357" i="3"/>
  <c r="O357" i="3" s="1"/>
  <c r="M357" i="3"/>
  <c r="N357" i="3"/>
  <c r="O360" i="3"/>
  <c r="P360" i="3"/>
  <c r="L361" i="3"/>
  <c r="M361" i="3"/>
  <c r="N361" i="3"/>
  <c r="O363" i="3"/>
  <c r="P363" i="3"/>
  <c r="L364" i="3"/>
  <c r="O364" i="3" s="1"/>
  <c r="M364" i="3"/>
  <c r="P364" i="3" s="1"/>
  <c r="N364" i="3"/>
  <c r="N362" i="3" s="1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I376" i="3"/>
  <c r="K376" i="3" s="1"/>
  <c r="J376" i="3"/>
  <c r="L378" i="3"/>
  <c r="M378" i="3"/>
  <c r="N378" i="3"/>
  <c r="P378" i="3"/>
  <c r="O381" i="3"/>
  <c r="P381" i="3"/>
  <c r="L382" i="3"/>
  <c r="O382" i="3" s="1"/>
  <c r="M382" i="3"/>
  <c r="N382" i="3"/>
  <c r="O384" i="3"/>
  <c r="P384" i="3"/>
  <c r="L385" i="3"/>
  <c r="O385" i="3" s="1"/>
  <c r="M385" i="3"/>
  <c r="P385" i="3" s="1"/>
  <c r="N385" i="3"/>
  <c r="N383" i="3" s="1"/>
  <c r="K387" i="3"/>
  <c r="K388" i="3"/>
  <c r="A391" i="3"/>
  <c r="L22" i="2"/>
  <c r="L19" i="2" s="1"/>
  <c r="O19" i="2" s="1"/>
  <c r="M22" i="2"/>
  <c r="N22" i="2"/>
  <c r="P22" i="2"/>
  <c r="L25" i="2"/>
  <c r="O25" i="2" s="1"/>
  <c r="M25" i="2"/>
  <c r="N25" i="2"/>
  <c r="N19" i="2" s="1"/>
  <c r="L45" i="2"/>
  <c r="M45" i="2"/>
  <c r="N45" i="2"/>
  <c r="P45" i="2"/>
  <c r="O48" i="2"/>
  <c r="P48" i="2"/>
  <c r="L49" i="2"/>
  <c r="L47" i="2" s="1"/>
  <c r="M49" i="2"/>
  <c r="M47" i="2" s="1"/>
  <c r="N49" i="2"/>
  <c r="N47" i="2" s="1"/>
  <c r="O51" i="2"/>
  <c r="P51" i="2"/>
  <c r="L52" i="2"/>
  <c r="M52" i="2"/>
  <c r="P52" i="2" s="1"/>
  <c r="N52" i="2"/>
  <c r="N50" i="2" s="1"/>
  <c r="L60" i="2"/>
  <c r="M60" i="2"/>
  <c r="P60" i="2" s="1"/>
  <c r="N60" i="2"/>
  <c r="O60" i="2"/>
  <c r="O63" i="2"/>
  <c r="P63" i="2"/>
  <c r="L64" i="2"/>
  <c r="L62" i="2" s="1"/>
  <c r="M64" i="2"/>
  <c r="M62" i="2" s="1"/>
  <c r="N64" i="2"/>
  <c r="O66" i="2"/>
  <c r="P66" i="2"/>
  <c r="L67" i="2"/>
  <c r="L65" i="2" s="1"/>
  <c r="O65" i="2" s="1"/>
  <c r="M67" i="2"/>
  <c r="P67" i="2" s="1"/>
  <c r="N67" i="2"/>
  <c r="N65" i="2" s="1"/>
  <c r="J71" i="2"/>
  <c r="L73" i="2"/>
  <c r="M73" i="2"/>
  <c r="P73" i="2" s="1"/>
  <c r="N73" i="2"/>
  <c r="O76" i="2"/>
  <c r="P76" i="2"/>
  <c r="L77" i="2"/>
  <c r="O77" i="2" s="1"/>
  <c r="M77" i="2"/>
  <c r="M75" i="2" s="1"/>
  <c r="P75" i="2" s="1"/>
  <c r="N77" i="2"/>
  <c r="O79" i="2"/>
  <c r="P79" i="2"/>
  <c r="L80" i="2"/>
  <c r="O80" i="2" s="1"/>
  <c r="M80" i="2"/>
  <c r="P80" i="2" s="1"/>
  <c r="N80" i="2"/>
  <c r="N78" i="2" s="1"/>
  <c r="J82" i="2"/>
  <c r="J70" i="2" s="1"/>
  <c r="J83" i="2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O98" i="2"/>
  <c r="P98" i="2"/>
  <c r="L99" i="2"/>
  <c r="M99" i="2"/>
  <c r="P99" i="2" s="1"/>
  <c r="N99" i="2"/>
  <c r="N97" i="2" s="1"/>
  <c r="O101" i="2"/>
  <c r="P101" i="2"/>
  <c r="L102" i="2"/>
  <c r="M102" i="2"/>
  <c r="P102" i="2" s="1"/>
  <c r="N102" i="2"/>
  <c r="N100" i="2" s="1"/>
  <c r="I108" i="2"/>
  <c r="K108" i="2" s="1"/>
  <c r="I109" i="2"/>
  <c r="I117" i="2"/>
  <c r="K117" i="2" s="1"/>
  <c r="L126" i="2"/>
  <c r="M126" i="2"/>
  <c r="P126" i="2" s="1"/>
  <c r="N126" i="2"/>
  <c r="O126" i="2"/>
  <c r="O129" i="2"/>
  <c r="P129" i="2"/>
  <c r="L130" i="2"/>
  <c r="M130" i="2"/>
  <c r="M128" i="2" s="1"/>
  <c r="P128" i="2" s="1"/>
  <c r="N130" i="2"/>
  <c r="N128" i="2" s="1"/>
  <c r="O132" i="2"/>
  <c r="P132" i="2"/>
  <c r="L133" i="2"/>
  <c r="O133" i="2" s="1"/>
  <c r="M133" i="2"/>
  <c r="M131" i="2" s="1"/>
  <c r="P131" i="2" s="1"/>
  <c r="N133" i="2"/>
  <c r="N131" i="2" s="1"/>
  <c r="J136" i="2"/>
  <c r="J137" i="2"/>
  <c r="J138" i="2"/>
  <c r="L140" i="2"/>
  <c r="M140" i="2"/>
  <c r="P140" i="2" s="1"/>
  <c r="N140" i="2"/>
  <c r="O140" i="2"/>
  <c r="O143" i="2"/>
  <c r="P143" i="2"/>
  <c r="L144" i="2"/>
  <c r="L142" i="2" s="1"/>
  <c r="M144" i="2"/>
  <c r="M142" i="2" s="1"/>
  <c r="N144" i="2"/>
  <c r="N142" i="2" s="1"/>
  <c r="O146" i="2"/>
  <c r="P146" i="2"/>
  <c r="L147" i="2"/>
  <c r="L145" i="2" s="1"/>
  <c r="O145" i="2" s="1"/>
  <c r="M147" i="2"/>
  <c r="M145" i="2" s="1"/>
  <c r="P145" i="2" s="1"/>
  <c r="N147" i="2"/>
  <c r="N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M158" i="2"/>
  <c r="P158" i="2" s="1"/>
  <c r="N158" i="2"/>
  <c r="O161" i="2"/>
  <c r="P161" i="2"/>
  <c r="L162" i="2"/>
  <c r="L160" i="2" s="1"/>
  <c r="M162" i="2"/>
  <c r="M160" i="2" s="1"/>
  <c r="P160" i="2" s="1"/>
  <c r="N162" i="2"/>
  <c r="O164" i="2"/>
  <c r="P164" i="2"/>
  <c r="L165" i="2"/>
  <c r="O165" i="2" s="1"/>
  <c r="M165" i="2"/>
  <c r="P165" i="2" s="1"/>
  <c r="N165" i="2"/>
  <c r="N163" i="2" s="1"/>
  <c r="I167" i="2"/>
  <c r="K167" i="2" s="1"/>
  <c r="J172" i="2"/>
  <c r="L174" i="2"/>
  <c r="M174" i="2"/>
  <c r="P174" i="2" s="1"/>
  <c r="N174" i="2"/>
  <c r="O177" i="2"/>
  <c r="P177" i="2"/>
  <c r="L178" i="2"/>
  <c r="M178" i="2"/>
  <c r="M176" i="2" s="1"/>
  <c r="N178" i="2"/>
  <c r="N176" i="2" s="1"/>
  <c r="O180" i="2"/>
  <c r="P180" i="2"/>
  <c r="L181" i="2"/>
  <c r="O181" i="2" s="1"/>
  <c r="M181" i="2"/>
  <c r="P181" i="2" s="1"/>
  <c r="N181" i="2"/>
  <c r="N179" i="2" s="1"/>
  <c r="I183" i="2"/>
  <c r="I172" i="2" s="1"/>
  <c r="K184" i="2"/>
  <c r="L187" i="2"/>
  <c r="M187" i="2"/>
  <c r="P187" i="2" s="1"/>
  <c r="N187" i="2"/>
  <c r="O187" i="2"/>
  <c r="O190" i="2"/>
  <c r="P190" i="2"/>
  <c r="L191" i="2"/>
  <c r="L189" i="2" s="1"/>
  <c r="M191" i="2"/>
  <c r="N191" i="2"/>
  <c r="O193" i="2"/>
  <c r="P193" i="2"/>
  <c r="L194" i="2"/>
  <c r="L192" i="2" s="1"/>
  <c r="O192" i="2" s="1"/>
  <c r="M194" i="2"/>
  <c r="M192" i="2" s="1"/>
  <c r="P192" i="2" s="1"/>
  <c r="N194" i="2"/>
  <c r="N192" i="2" s="1"/>
  <c r="J195" i="2"/>
  <c r="L196" i="2"/>
  <c r="O196" i="2" s="1"/>
  <c r="P196" i="2"/>
  <c r="I198" i="2"/>
  <c r="I195" i="2" s="1"/>
  <c r="J199" i="2"/>
  <c r="J202" i="2"/>
  <c r="N203" i="2"/>
  <c r="P203" i="2"/>
  <c r="L204" i="2"/>
  <c r="L205" i="2"/>
  <c r="L206" i="2"/>
  <c r="L207" i="2"/>
  <c r="I209" i="2"/>
  <c r="K209" i="2" s="1"/>
  <c r="I211" i="2"/>
  <c r="K211" i="2" s="1"/>
  <c r="I212" i="2"/>
  <c r="K212" i="2" s="1"/>
  <c r="J213" i="2"/>
  <c r="N214" i="2"/>
  <c r="P214" i="2"/>
  <c r="L215" i="2"/>
  <c r="L216" i="2"/>
  <c r="L217" i="2"/>
  <c r="I219" i="2"/>
  <c r="K219" i="2" s="1"/>
  <c r="I220" i="2"/>
  <c r="I213" i="2" s="1"/>
  <c r="J221" i="2"/>
  <c r="N222" i="2"/>
  <c r="P222" i="2"/>
  <c r="L223" i="2"/>
  <c r="L224" i="2"/>
  <c r="L225" i="2"/>
  <c r="I228" i="2"/>
  <c r="K228" i="2" s="1"/>
  <c r="I229" i="2"/>
  <c r="K229" i="2" s="1"/>
  <c r="I230" i="2"/>
  <c r="N233" i="2"/>
  <c r="N234" i="2"/>
  <c r="N235" i="2"/>
  <c r="N236" i="2"/>
  <c r="J238" i="2"/>
  <c r="J240" i="2"/>
  <c r="J241" i="2"/>
  <c r="J242" i="2"/>
  <c r="J231" i="2" s="1"/>
  <c r="J185" i="2" s="1"/>
  <c r="N243" i="2"/>
  <c r="N232" i="2" s="1"/>
  <c r="P243" i="2"/>
  <c r="L244" i="2"/>
  <c r="L245" i="2"/>
  <c r="L246" i="2"/>
  <c r="L247" i="2"/>
  <c r="I249" i="2"/>
  <c r="I242" i="2" s="1"/>
  <c r="I251" i="2"/>
  <c r="K251" i="2" s="1"/>
  <c r="I252" i="2"/>
  <c r="K252" i="2" s="1"/>
  <c r="J253" i="2"/>
  <c r="N254" i="2"/>
  <c r="P254" i="2"/>
  <c r="L255" i="2"/>
  <c r="L256" i="2"/>
  <c r="L257" i="2"/>
  <c r="L258" i="2"/>
  <c r="I260" i="2"/>
  <c r="K262" i="2"/>
  <c r="K263" i="2"/>
  <c r="I265" i="2"/>
  <c r="J265" i="2"/>
  <c r="K265" i="2"/>
  <c r="L267" i="2"/>
  <c r="M267" i="2"/>
  <c r="P267" i="2" s="1"/>
  <c r="N267" i="2"/>
  <c r="O270" i="2"/>
  <c r="P270" i="2"/>
  <c r="L271" i="2"/>
  <c r="L269" i="2" s="1"/>
  <c r="O269" i="2" s="1"/>
  <c r="M271" i="2"/>
  <c r="P271" i="2" s="1"/>
  <c r="N271" i="2"/>
  <c r="N269" i="2" s="1"/>
  <c r="O273" i="2"/>
  <c r="P273" i="2"/>
  <c r="L274" i="2"/>
  <c r="L272" i="2" s="1"/>
  <c r="O272" i="2" s="1"/>
  <c r="M274" i="2"/>
  <c r="P274" i="2" s="1"/>
  <c r="N274" i="2"/>
  <c r="N272" i="2" s="1"/>
  <c r="J281" i="2"/>
  <c r="L283" i="2"/>
  <c r="M283" i="2"/>
  <c r="P283" i="2" s="1"/>
  <c r="N283" i="2"/>
  <c r="O283" i="2"/>
  <c r="O286" i="2"/>
  <c r="P286" i="2"/>
  <c r="L287" i="2"/>
  <c r="L285" i="2" s="1"/>
  <c r="O285" i="2" s="1"/>
  <c r="M287" i="2"/>
  <c r="P287" i="2" s="1"/>
  <c r="N287" i="2"/>
  <c r="O289" i="2"/>
  <c r="P289" i="2"/>
  <c r="L290" i="2"/>
  <c r="L288" i="2" s="1"/>
  <c r="O288" i="2" s="1"/>
  <c r="M290" i="2"/>
  <c r="M288" i="2" s="1"/>
  <c r="P288" i="2" s="1"/>
  <c r="N290" i="2"/>
  <c r="N288" i="2" s="1"/>
  <c r="I292" i="2"/>
  <c r="I281" i="2" s="1"/>
  <c r="K281" i="2" s="1"/>
  <c r="I293" i="2"/>
  <c r="I280" i="2" s="1"/>
  <c r="K280" i="2" s="1"/>
  <c r="J293" i="2"/>
  <c r="J280" i="2" s="1"/>
  <c r="I295" i="2"/>
  <c r="K295" i="2" s="1"/>
  <c r="I296" i="2"/>
  <c r="K296" i="2" s="1"/>
  <c r="J302" i="2"/>
  <c r="L304" i="2"/>
  <c r="M304" i="2"/>
  <c r="P304" i="2" s="1"/>
  <c r="N304" i="2"/>
  <c r="O307" i="2"/>
  <c r="P307" i="2"/>
  <c r="L308" i="2"/>
  <c r="L306" i="2" s="1"/>
  <c r="O306" i="2" s="1"/>
  <c r="M308" i="2"/>
  <c r="P308" i="2" s="1"/>
  <c r="N308" i="2"/>
  <c r="N306" i="2" s="1"/>
  <c r="O310" i="2"/>
  <c r="P310" i="2"/>
  <c r="L311" i="2"/>
  <c r="L309" i="2" s="1"/>
  <c r="O309" i="2" s="1"/>
  <c r="M311" i="2"/>
  <c r="P311" i="2" s="1"/>
  <c r="N311" i="2"/>
  <c r="N309" i="2" s="1"/>
  <c r="I314" i="2"/>
  <c r="I302" i="2" s="1"/>
  <c r="K302" i="2" s="1"/>
  <c r="I315" i="2"/>
  <c r="K315" i="2" s="1"/>
  <c r="I316" i="2"/>
  <c r="K316" i="2" s="1"/>
  <c r="I317" i="2"/>
  <c r="K317" i="2" s="1"/>
  <c r="J319" i="2"/>
  <c r="L321" i="2"/>
  <c r="M321" i="2"/>
  <c r="N321" i="2"/>
  <c r="P321" i="2"/>
  <c r="O324" i="2"/>
  <c r="P324" i="2"/>
  <c r="L325" i="2"/>
  <c r="M325" i="2"/>
  <c r="N325" i="2"/>
  <c r="N323" i="2" s="1"/>
  <c r="O327" i="2"/>
  <c r="P327" i="2"/>
  <c r="L328" i="2"/>
  <c r="O328" i="2" s="1"/>
  <c r="M328" i="2"/>
  <c r="P328" i="2" s="1"/>
  <c r="N328" i="2"/>
  <c r="N326" i="2" s="1"/>
  <c r="I330" i="2"/>
  <c r="K330" i="2" s="1"/>
  <c r="L334" i="2"/>
  <c r="M334" i="2"/>
  <c r="N334" i="2"/>
  <c r="O334" i="2"/>
  <c r="O337" i="2"/>
  <c r="P337" i="2"/>
  <c r="L338" i="2"/>
  <c r="M338" i="2"/>
  <c r="N338" i="2"/>
  <c r="N336" i="2" s="1"/>
  <c r="O340" i="2"/>
  <c r="P340" i="2"/>
  <c r="L341" i="2"/>
  <c r="L339" i="2" s="1"/>
  <c r="O339" i="2" s="1"/>
  <c r="M341" i="2"/>
  <c r="P341" i="2" s="1"/>
  <c r="N341" i="2"/>
  <c r="N339" i="2" s="1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L357" i="2"/>
  <c r="O357" i="2" s="1"/>
  <c r="M357" i="2"/>
  <c r="P357" i="2" s="1"/>
  <c r="N357" i="2"/>
  <c r="O360" i="2"/>
  <c r="P360" i="2"/>
  <c r="L361" i="2"/>
  <c r="L359" i="2" s="1"/>
  <c r="M361" i="2"/>
  <c r="N361" i="2"/>
  <c r="N359" i="2" s="1"/>
  <c r="O363" i="2"/>
  <c r="P363" i="2"/>
  <c r="L364" i="2"/>
  <c r="L362" i="2" s="1"/>
  <c r="O362" i="2" s="1"/>
  <c r="M364" i="2"/>
  <c r="P364" i="2" s="1"/>
  <c r="N364" i="2"/>
  <c r="N362" i="2" s="1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I376" i="2"/>
  <c r="J376" i="2"/>
  <c r="K376" i="2"/>
  <c r="L378" i="2"/>
  <c r="O378" i="2" s="1"/>
  <c r="M378" i="2"/>
  <c r="N378" i="2"/>
  <c r="O381" i="2"/>
  <c r="P381" i="2"/>
  <c r="L382" i="2"/>
  <c r="O382" i="2" s="1"/>
  <c r="M382" i="2"/>
  <c r="M380" i="2" s="1"/>
  <c r="P380" i="2" s="1"/>
  <c r="N382" i="2"/>
  <c r="N380" i="2" s="1"/>
  <c r="O384" i="2"/>
  <c r="P384" i="2"/>
  <c r="L385" i="2"/>
  <c r="O385" i="2" s="1"/>
  <c r="M385" i="2"/>
  <c r="M383" i="2" s="1"/>
  <c r="P383" i="2" s="1"/>
  <c r="N385" i="2"/>
  <c r="N383" i="2" s="1"/>
  <c r="K387" i="2"/>
  <c r="K388" i="2"/>
  <c r="A391" i="2"/>
  <c r="A391" i="1"/>
  <c r="K388" i="1"/>
  <c r="K387" i="1"/>
  <c r="N385" i="1"/>
  <c r="M385" i="1"/>
  <c r="P385" i="1" s="1"/>
  <c r="L385" i="1"/>
  <c r="O385" i="1" s="1"/>
  <c r="N384" i="1"/>
  <c r="M384" i="1"/>
  <c r="P384" i="1" s="1"/>
  <c r="L384" i="1"/>
  <c r="N382" i="1"/>
  <c r="M382" i="1"/>
  <c r="P382" i="1" s="1"/>
  <c r="L382" i="1"/>
  <c r="O382" i="1" s="1"/>
  <c r="N381" i="1"/>
  <c r="M381" i="1"/>
  <c r="P381" i="1" s="1"/>
  <c r="L381" i="1"/>
  <c r="K376" i="1"/>
  <c r="J376" i="1"/>
  <c r="I376" i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N364" i="1"/>
  <c r="M364" i="1"/>
  <c r="P364" i="1" s="1"/>
  <c r="L364" i="1"/>
  <c r="O364" i="1" s="1"/>
  <c r="N363" i="1"/>
  <c r="M363" i="1"/>
  <c r="L363" i="1"/>
  <c r="N361" i="1"/>
  <c r="M361" i="1"/>
  <c r="L361" i="1"/>
  <c r="N360" i="1"/>
  <c r="M360" i="1"/>
  <c r="L360" i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N341" i="1"/>
  <c r="M341" i="1"/>
  <c r="L341" i="1"/>
  <c r="O341" i="1" s="1"/>
  <c r="N340" i="1"/>
  <c r="M340" i="1"/>
  <c r="L340" i="1"/>
  <c r="O340" i="1" s="1"/>
  <c r="N338" i="1"/>
  <c r="M338" i="1"/>
  <c r="L338" i="1"/>
  <c r="L335" i="1" s="1"/>
  <c r="N337" i="1"/>
  <c r="M337" i="1"/>
  <c r="L337" i="1"/>
  <c r="J330" i="1"/>
  <c r="J319" i="1" s="1"/>
  <c r="I330" i="1"/>
  <c r="N328" i="1"/>
  <c r="M328" i="1"/>
  <c r="P328" i="1" s="1"/>
  <c r="L328" i="1"/>
  <c r="O328" i="1" s="1"/>
  <c r="N327" i="1"/>
  <c r="M327" i="1"/>
  <c r="L327" i="1"/>
  <c r="N325" i="1"/>
  <c r="M325" i="1"/>
  <c r="L325" i="1"/>
  <c r="N324" i="1"/>
  <c r="N321" i="1" s="1"/>
  <c r="M324" i="1"/>
  <c r="P324" i="1" s="1"/>
  <c r="L324" i="1"/>
  <c r="O324" i="1" s="1"/>
  <c r="J317" i="1"/>
  <c r="I317" i="1"/>
  <c r="J316" i="1"/>
  <c r="I316" i="1"/>
  <c r="J315" i="1"/>
  <c r="I315" i="1"/>
  <c r="J314" i="1"/>
  <c r="J302" i="1" s="1"/>
  <c r="I314" i="1"/>
  <c r="J313" i="1"/>
  <c r="N311" i="1"/>
  <c r="M311" i="1"/>
  <c r="P311" i="1" s="1"/>
  <c r="L311" i="1"/>
  <c r="O311" i="1" s="1"/>
  <c r="N310" i="1"/>
  <c r="M310" i="1"/>
  <c r="L310" i="1"/>
  <c r="O310" i="1" s="1"/>
  <c r="N308" i="1"/>
  <c r="M308" i="1"/>
  <c r="L308" i="1"/>
  <c r="N307" i="1"/>
  <c r="M307" i="1"/>
  <c r="P307" i="1" s="1"/>
  <c r="L307" i="1"/>
  <c r="J296" i="1"/>
  <c r="I296" i="1"/>
  <c r="J295" i="1"/>
  <c r="I295" i="1"/>
  <c r="J293" i="1"/>
  <c r="I293" i="1"/>
  <c r="I280" i="1" s="1"/>
  <c r="J292" i="1"/>
  <c r="J281" i="1" s="1"/>
  <c r="I292" i="1"/>
  <c r="I281" i="1" s="1"/>
  <c r="N290" i="1"/>
  <c r="M290" i="1"/>
  <c r="P290" i="1" s="1"/>
  <c r="L290" i="1"/>
  <c r="O290" i="1" s="1"/>
  <c r="N289" i="1"/>
  <c r="M289" i="1"/>
  <c r="L289" i="1"/>
  <c r="O289" i="1" s="1"/>
  <c r="N287" i="1"/>
  <c r="M287" i="1"/>
  <c r="L287" i="1"/>
  <c r="N286" i="1"/>
  <c r="M286" i="1"/>
  <c r="P286" i="1" s="1"/>
  <c r="L286" i="1"/>
  <c r="N274" i="1"/>
  <c r="M274" i="1"/>
  <c r="P274" i="1" s="1"/>
  <c r="L274" i="1"/>
  <c r="O274" i="1" s="1"/>
  <c r="N273" i="1"/>
  <c r="M273" i="1"/>
  <c r="P273" i="1" s="1"/>
  <c r="L273" i="1"/>
  <c r="N271" i="1"/>
  <c r="M271" i="1"/>
  <c r="L271" i="1"/>
  <c r="N270" i="1"/>
  <c r="M270" i="1"/>
  <c r="L270" i="1"/>
  <c r="O270" i="1" s="1"/>
  <c r="K265" i="1"/>
  <c r="K241" i="1"/>
  <c r="J241" i="1"/>
  <c r="K240" i="1"/>
  <c r="J240" i="1"/>
  <c r="J238" i="1"/>
  <c r="I238" i="1"/>
  <c r="N236" i="1"/>
  <c r="L236" i="1"/>
  <c r="N235" i="1"/>
  <c r="L235" i="1"/>
  <c r="N234" i="1"/>
  <c r="L234" i="1"/>
  <c r="N233" i="1"/>
  <c r="L233" i="1"/>
  <c r="K231" i="1"/>
  <c r="J231" i="1"/>
  <c r="I231" i="1"/>
  <c r="J230" i="1"/>
  <c r="J185" i="1" s="1"/>
  <c r="I230" i="1"/>
  <c r="K230" i="1" s="1"/>
  <c r="J229" i="1"/>
  <c r="J221" i="1" s="1"/>
  <c r="I229" i="1"/>
  <c r="I221" i="1" s="1"/>
  <c r="J228" i="1"/>
  <c r="I228" i="1"/>
  <c r="N224" i="1"/>
  <c r="L224" i="1"/>
  <c r="N223" i="1"/>
  <c r="L223" i="1"/>
  <c r="J220" i="1"/>
  <c r="J213" i="1" s="1"/>
  <c r="I220" i="1"/>
  <c r="J219" i="1"/>
  <c r="I219" i="1"/>
  <c r="N217" i="1"/>
  <c r="L217" i="1"/>
  <c r="N216" i="1"/>
  <c r="L216" i="1"/>
  <c r="N215" i="1"/>
  <c r="L215" i="1"/>
  <c r="K212" i="1"/>
  <c r="J212" i="1"/>
  <c r="K211" i="1"/>
  <c r="J211" i="1"/>
  <c r="J209" i="1"/>
  <c r="J202" i="1" s="1"/>
  <c r="I209" i="1"/>
  <c r="I202" i="1" s="1"/>
  <c r="N207" i="1"/>
  <c r="L207" i="1"/>
  <c r="N206" i="1"/>
  <c r="L206" i="1"/>
  <c r="N204" i="1"/>
  <c r="L204" i="1"/>
  <c r="J201" i="1"/>
  <c r="J200" i="1"/>
  <c r="J198" i="1"/>
  <c r="J195" i="1" s="1"/>
  <c r="I198" i="1"/>
  <c r="N196" i="1"/>
  <c r="L196" i="1"/>
  <c r="N194" i="1"/>
  <c r="M194" i="1"/>
  <c r="P194" i="1" s="1"/>
  <c r="L194" i="1"/>
  <c r="N193" i="1"/>
  <c r="M193" i="1"/>
  <c r="P193" i="1" s="1"/>
  <c r="L193" i="1"/>
  <c r="O193" i="1" s="1"/>
  <c r="N191" i="1"/>
  <c r="M191" i="1"/>
  <c r="L191" i="1"/>
  <c r="N190" i="1"/>
  <c r="M190" i="1"/>
  <c r="P190" i="1" s="1"/>
  <c r="L190" i="1"/>
  <c r="K184" i="1"/>
  <c r="J183" i="1"/>
  <c r="J172" i="1" s="1"/>
  <c r="I183" i="1"/>
  <c r="I172" i="1" s="1"/>
  <c r="N181" i="1"/>
  <c r="M181" i="1"/>
  <c r="P181" i="1" s="1"/>
  <c r="L181" i="1"/>
  <c r="O181" i="1" s="1"/>
  <c r="N180" i="1"/>
  <c r="M180" i="1"/>
  <c r="L180" i="1"/>
  <c r="O180" i="1" s="1"/>
  <c r="N178" i="1"/>
  <c r="M178" i="1"/>
  <c r="L178" i="1"/>
  <c r="N177" i="1"/>
  <c r="M177" i="1"/>
  <c r="P177" i="1" s="1"/>
  <c r="L177" i="1"/>
  <c r="J167" i="1"/>
  <c r="I167" i="1"/>
  <c r="N165" i="1"/>
  <c r="M165" i="1"/>
  <c r="P165" i="1" s="1"/>
  <c r="L165" i="1"/>
  <c r="O165" i="1" s="1"/>
  <c r="N164" i="1"/>
  <c r="M164" i="1"/>
  <c r="L164" i="1"/>
  <c r="O164" i="1" s="1"/>
  <c r="N162" i="1"/>
  <c r="M162" i="1"/>
  <c r="L162" i="1"/>
  <c r="N161" i="1"/>
  <c r="M161" i="1"/>
  <c r="L161" i="1"/>
  <c r="O161" i="1" s="1"/>
  <c r="J156" i="1"/>
  <c r="J154" i="1"/>
  <c r="J136" i="1" s="1"/>
  <c r="I154" i="1"/>
  <c r="J153" i="1"/>
  <c r="J138" i="1" s="1"/>
  <c r="I153" i="1"/>
  <c r="J152" i="1"/>
  <c r="J137" i="1" s="1"/>
  <c r="I152" i="1"/>
  <c r="J151" i="1"/>
  <c r="I151" i="1"/>
  <c r="J150" i="1"/>
  <c r="I150" i="1"/>
  <c r="J149" i="1"/>
  <c r="N147" i="1"/>
  <c r="M147" i="1"/>
  <c r="P147" i="1" s="1"/>
  <c r="L147" i="1"/>
  <c r="O147" i="1" s="1"/>
  <c r="N146" i="1"/>
  <c r="M146" i="1"/>
  <c r="P146" i="1" s="1"/>
  <c r="L146" i="1"/>
  <c r="N144" i="1"/>
  <c r="M144" i="1"/>
  <c r="L144" i="1"/>
  <c r="N143" i="1"/>
  <c r="M143" i="1"/>
  <c r="P143" i="1" s="1"/>
  <c r="L143" i="1"/>
  <c r="L140" i="1" s="1"/>
  <c r="N133" i="1"/>
  <c r="M133" i="1"/>
  <c r="L133" i="1"/>
  <c r="O133" i="1" s="1"/>
  <c r="N132" i="1"/>
  <c r="M132" i="1"/>
  <c r="P132" i="1" s="1"/>
  <c r="L132" i="1"/>
  <c r="N130" i="1"/>
  <c r="M130" i="1"/>
  <c r="P130" i="1" s="1"/>
  <c r="L130" i="1"/>
  <c r="N129" i="1"/>
  <c r="M129" i="1"/>
  <c r="P129" i="1" s="1"/>
  <c r="L129" i="1"/>
  <c r="O129" i="1" s="1"/>
  <c r="J117" i="1"/>
  <c r="I117" i="1"/>
  <c r="J109" i="1"/>
  <c r="I109" i="1"/>
  <c r="I93" i="1" s="1"/>
  <c r="J108" i="1"/>
  <c r="J92" i="1" s="1"/>
  <c r="I108" i="1"/>
  <c r="I92" i="1" s="1"/>
  <c r="N102" i="1"/>
  <c r="M102" i="1"/>
  <c r="P102" i="1" s="1"/>
  <c r="L102" i="1"/>
  <c r="O102" i="1" s="1"/>
  <c r="N101" i="1"/>
  <c r="M101" i="1"/>
  <c r="P101" i="1" s="1"/>
  <c r="L101" i="1"/>
  <c r="N99" i="1"/>
  <c r="M99" i="1"/>
  <c r="L99" i="1"/>
  <c r="N98" i="1"/>
  <c r="M98" i="1"/>
  <c r="L98" i="1"/>
  <c r="J90" i="1"/>
  <c r="I90" i="1"/>
  <c r="J89" i="1"/>
  <c r="I89" i="1"/>
  <c r="J88" i="1"/>
  <c r="I88" i="1"/>
  <c r="J87" i="1"/>
  <c r="I87" i="1"/>
  <c r="K87" i="1" s="1"/>
  <c r="J86" i="1"/>
  <c r="I86" i="1"/>
  <c r="K86" i="1" s="1"/>
  <c r="J85" i="1"/>
  <c r="I85" i="1"/>
  <c r="K85" i="1" s="1"/>
  <c r="J84" i="1"/>
  <c r="I84" i="1"/>
  <c r="N80" i="1"/>
  <c r="M80" i="1"/>
  <c r="L80" i="1"/>
  <c r="N79" i="1"/>
  <c r="M79" i="1"/>
  <c r="P79" i="1" s="1"/>
  <c r="L79" i="1"/>
  <c r="N77" i="1"/>
  <c r="M77" i="1"/>
  <c r="L77" i="1"/>
  <c r="N76" i="1"/>
  <c r="M76" i="1"/>
  <c r="L76" i="1"/>
  <c r="N67" i="1"/>
  <c r="M67" i="1"/>
  <c r="P67" i="1" s="1"/>
  <c r="L67" i="1"/>
  <c r="O67" i="1" s="1"/>
  <c r="N66" i="1"/>
  <c r="M66" i="1"/>
  <c r="P66" i="1" s="1"/>
  <c r="L66" i="1"/>
  <c r="N64" i="1"/>
  <c r="M64" i="1"/>
  <c r="L64" i="1"/>
  <c r="N63" i="1"/>
  <c r="M63" i="1"/>
  <c r="P63" i="1" s="1"/>
  <c r="L63" i="1"/>
  <c r="N55" i="1"/>
  <c r="M55" i="1"/>
  <c r="L55" i="1"/>
  <c r="O55" i="1" s="1"/>
  <c r="N54" i="1"/>
  <c r="N28" i="1" s="1"/>
  <c r="M54" i="1"/>
  <c r="P54" i="1" s="1"/>
  <c r="L54" i="1"/>
  <c r="N52" i="1"/>
  <c r="M52" i="1"/>
  <c r="P52" i="1" s="1"/>
  <c r="L52" i="1"/>
  <c r="N51" i="1"/>
  <c r="M51" i="1"/>
  <c r="L51" i="1"/>
  <c r="O51" i="1" s="1"/>
  <c r="N49" i="1"/>
  <c r="N46" i="1" s="1"/>
  <c r="M49" i="1"/>
  <c r="L49" i="1"/>
  <c r="N48" i="1"/>
  <c r="M48" i="1"/>
  <c r="P48" i="1" s="1"/>
  <c r="L48" i="1"/>
  <c r="N268" i="1" l="1"/>
  <c r="M358" i="1"/>
  <c r="N60" i="1"/>
  <c r="K346" i="22"/>
  <c r="O361" i="22"/>
  <c r="P189" i="22"/>
  <c r="N358" i="22"/>
  <c r="N356" i="22" s="1"/>
  <c r="O189" i="22"/>
  <c r="P290" i="22"/>
  <c r="M74" i="22"/>
  <c r="P74" i="22" s="1"/>
  <c r="P287" i="22"/>
  <c r="O178" i="22"/>
  <c r="I238" i="22"/>
  <c r="K238" i="22" s="1"/>
  <c r="N322" i="22"/>
  <c r="N320" i="22" s="1"/>
  <c r="L74" i="22"/>
  <c r="O74" i="22" s="1"/>
  <c r="M61" i="22"/>
  <c r="M59" i="22" s="1"/>
  <c r="K109" i="22"/>
  <c r="N268" i="22"/>
  <c r="N266" i="22" s="1"/>
  <c r="M96" i="22"/>
  <c r="P96" i="22" s="1"/>
  <c r="P338" i="22"/>
  <c r="J343" i="22"/>
  <c r="K344" i="22"/>
  <c r="O338" i="22"/>
  <c r="K293" i="22"/>
  <c r="O287" i="22"/>
  <c r="L203" i="22"/>
  <c r="O203" i="22" s="1"/>
  <c r="K198" i="22"/>
  <c r="O80" i="22"/>
  <c r="O64" i="22"/>
  <c r="N379" i="22"/>
  <c r="N377" i="22" s="1"/>
  <c r="P361" i="22"/>
  <c r="K330" i="22"/>
  <c r="L235" i="22"/>
  <c r="L233" i="22"/>
  <c r="O194" i="22"/>
  <c r="P191" i="22"/>
  <c r="K183" i="22"/>
  <c r="P325" i="22"/>
  <c r="O191" i="22"/>
  <c r="N175" i="22"/>
  <c r="N173" i="22" s="1"/>
  <c r="O162" i="22"/>
  <c r="I156" i="22"/>
  <c r="K156" i="22" s="1"/>
  <c r="N159" i="21"/>
  <c r="N157" i="21" s="1"/>
  <c r="L339" i="22"/>
  <c r="O339" i="22" s="1"/>
  <c r="N323" i="22"/>
  <c r="M175" i="22"/>
  <c r="M173" i="22" s="1"/>
  <c r="N159" i="22"/>
  <c r="N157" i="22" s="1"/>
  <c r="P102" i="22"/>
  <c r="J332" i="22"/>
  <c r="K332" i="22" s="1"/>
  <c r="N141" i="22"/>
  <c r="N139" i="22" s="1"/>
  <c r="I92" i="22"/>
  <c r="K92" i="22" s="1"/>
  <c r="P47" i="22"/>
  <c r="M268" i="22"/>
  <c r="M266" i="22" s="1"/>
  <c r="P266" i="22" s="1"/>
  <c r="N232" i="22"/>
  <c r="O133" i="22"/>
  <c r="O102" i="22"/>
  <c r="I83" i="22"/>
  <c r="K83" i="22" s="1"/>
  <c r="O77" i="22"/>
  <c r="L75" i="22"/>
  <c r="O75" i="22" s="1"/>
  <c r="L46" i="22"/>
  <c r="L44" i="22" s="1"/>
  <c r="I365" i="22"/>
  <c r="K365" i="22" s="1"/>
  <c r="L336" i="22"/>
  <c r="N305" i="22"/>
  <c r="N303" i="22" s="1"/>
  <c r="P274" i="22"/>
  <c r="L236" i="22"/>
  <c r="J231" i="22"/>
  <c r="J185" i="22" s="1"/>
  <c r="L222" i="22"/>
  <c r="O222" i="22" s="1"/>
  <c r="M188" i="22"/>
  <c r="M186" i="22" s="1"/>
  <c r="O181" i="22"/>
  <c r="O165" i="22"/>
  <c r="N127" i="22"/>
  <c r="N125" i="22" s="1"/>
  <c r="P99" i="22"/>
  <c r="N74" i="22"/>
  <c r="N72" i="22" s="1"/>
  <c r="P67" i="22"/>
  <c r="L362" i="22"/>
  <c r="O362" i="22" s="1"/>
  <c r="L359" i="22"/>
  <c r="J351" i="22"/>
  <c r="N335" i="22"/>
  <c r="N333" i="22" s="1"/>
  <c r="P328" i="22"/>
  <c r="M305" i="22"/>
  <c r="P305" i="22" s="1"/>
  <c r="K292" i="22"/>
  <c r="M284" i="22"/>
  <c r="P284" i="22" s="1"/>
  <c r="O274" i="22"/>
  <c r="P194" i="22"/>
  <c r="M179" i="22"/>
  <c r="P179" i="22" s="1"/>
  <c r="L176" i="22"/>
  <c r="M163" i="22"/>
  <c r="P163" i="22" s="1"/>
  <c r="M97" i="22"/>
  <c r="P97" i="22" s="1"/>
  <c r="P64" i="22"/>
  <c r="M62" i="22"/>
  <c r="P62" i="22" s="1"/>
  <c r="O52" i="22"/>
  <c r="M19" i="22"/>
  <c r="N380" i="22"/>
  <c r="O328" i="22"/>
  <c r="L305" i="22"/>
  <c r="O305" i="22" s="1"/>
  <c r="O271" i="22"/>
  <c r="N269" i="22"/>
  <c r="L234" i="22"/>
  <c r="L214" i="22"/>
  <c r="O214" i="22" s="1"/>
  <c r="L127" i="22"/>
  <c r="O127" i="22" s="1"/>
  <c r="N61" i="22"/>
  <c r="N59" i="22" s="1"/>
  <c r="O47" i="22"/>
  <c r="M306" i="22"/>
  <c r="P306" i="22" s="1"/>
  <c r="P60" i="22"/>
  <c r="L234" i="21"/>
  <c r="P194" i="21"/>
  <c r="M383" i="22"/>
  <c r="P383" i="22" s="1"/>
  <c r="M380" i="22"/>
  <c r="P380" i="22" s="1"/>
  <c r="L379" i="22"/>
  <c r="O379" i="22" s="1"/>
  <c r="N359" i="22"/>
  <c r="M358" i="22"/>
  <c r="N336" i="22"/>
  <c r="M335" i="22"/>
  <c r="M309" i="22"/>
  <c r="P309" i="22" s="1"/>
  <c r="L306" i="22"/>
  <c r="O306" i="22" s="1"/>
  <c r="L268" i="22"/>
  <c r="O268" i="22" s="1"/>
  <c r="I221" i="22"/>
  <c r="K221" i="22" s="1"/>
  <c r="N188" i="22"/>
  <c r="N186" i="22" s="1"/>
  <c r="P178" i="22"/>
  <c r="N176" i="22"/>
  <c r="L175" i="22"/>
  <c r="M160" i="22"/>
  <c r="P160" i="22" s="1"/>
  <c r="P162" i="22"/>
  <c r="N160" i="22"/>
  <c r="K152" i="22"/>
  <c r="I137" i="22"/>
  <c r="K137" i="22" s="1"/>
  <c r="M145" i="22"/>
  <c r="P145" i="22" s="1"/>
  <c r="O140" i="22"/>
  <c r="I138" i="22"/>
  <c r="K138" i="22" s="1"/>
  <c r="L128" i="22"/>
  <c r="O128" i="22" s="1"/>
  <c r="I82" i="22"/>
  <c r="O67" i="22"/>
  <c r="L65" i="22"/>
  <c r="O65" i="22" s="1"/>
  <c r="P19" i="22"/>
  <c r="K198" i="21"/>
  <c r="L383" i="22"/>
  <c r="O383" i="22" s="1"/>
  <c r="L380" i="22"/>
  <c r="O380" i="22" s="1"/>
  <c r="M362" i="22"/>
  <c r="P362" i="22" s="1"/>
  <c r="M359" i="22"/>
  <c r="L358" i="22"/>
  <c r="M339" i="22"/>
  <c r="P339" i="22" s="1"/>
  <c r="M336" i="22"/>
  <c r="L335" i="22"/>
  <c r="M322" i="22"/>
  <c r="P322" i="22" s="1"/>
  <c r="K314" i="22"/>
  <c r="L309" i="22"/>
  <c r="O309" i="22" s="1"/>
  <c r="N284" i="22"/>
  <c r="N282" i="22" s="1"/>
  <c r="M269" i="22"/>
  <c r="P269" i="22" s="1"/>
  <c r="I213" i="22"/>
  <c r="K213" i="22" s="1"/>
  <c r="L188" i="22"/>
  <c r="M176" i="22"/>
  <c r="P174" i="22"/>
  <c r="L159" i="22"/>
  <c r="L145" i="22"/>
  <c r="O145" i="22" s="1"/>
  <c r="M141" i="22"/>
  <c r="M131" i="22"/>
  <c r="P131" i="22" s="1"/>
  <c r="O126" i="22"/>
  <c r="M75" i="22"/>
  <c r="P75" i="22" s="1"/>
  <c r="P77" i="22"/>
  <c r="N75" i="22"/>
  <c r="M379" i="22"/>
  <c r="M128" i="22"/>
  <c r="P128" i="22" s="1"/>
  <c r="M188" i="21"/>
  <c r="M186" i="21" s="1"/>
  <c r="O378" i="22"/>
  <c r="P357" i="22"/>
  <c r="P334" i="22"/>
  <c r="P321" i="22"/>
  <c r="P308" i="22"/>
  <c r="O290" i="22"/>
  <c r="O267" i="22"/>
  <c r="P187" i="22"/>
  <c r="O144" i="22"/>
  <c r="L141" i="22"/>
  <c r="O141" i="22" s="1"/>
  <c r="M127" i="22"/>
  <c r="O25" i="22"/>
  <c r="L254" i="22"/>
  <c r="O254" i="22" s="1"/>
  <c r="O162" i="21"/>
  <c r="L322" i="22"/>
  <c r="O322" i="22" s="1"/>
  <c r="L323" i="22"/>
  <c r="O323" i="22" s="1"/>
  <c r="O321" i="22"/>
  <c r="O308" i="22"/>
  <c r="L284" i="22"/>
  <c r="I253" i="22"/>
  <c r="K253" i="22" s="1"/>
  <c r="K260" i="22"/>
  <c r="L243" i="22"/>
  <c r="I242" i="22"/>
  <c r="I202" i="22"/>
  <c r="K202" i="22" s="1"/>
  <c r="O130" i="22"/>
  <c r="N96" i="22"/>
  <c r="N94" i="22" s="1"/>
  <c r="M78" i="22"/>
  <c r="P78" i="22" s="1"/>
  <c r="P80" i="22"/>
  <c r="O73" i="22"/>
  <c r="N26" i="22"/>
  <c r="N24" i="22" s="1"/>
  <c r="L26" i="22"/>
  <c r="O26" i="22" s="1"/>
  <c r="K249" i="22"/>
  <c r="M159" i="22"/>
  <c r="P159" i="22" s="1"/>
  <c r="M142" i="22"/>
  <c r="P142" i="22" s="1"/>
  <c r="I136" i="22"/>
  <c r="K136" i="22" s="1"/>
  <c r="O99" i="22"/>
  <c r="L96" i="22"/>
  <c r="M26" i="22"/>
  <c r="L19" i="22"/>
  <c r="P52" i="22"/>
  <c r="P49" i="22"/>
  <c r="O45" i="22"/>
  <c r="L61" i="22"/>
  <c r="O49" i="22"/>
  <c r="N23" i="22"/>
  <c r="L62" i="22"/>
  <c r="O62" i="22" s="1"/>
  <c r="N46" i="22"/>
  <c r="N44" i="22" s="1"/>
  <c r="M23" i="22"/>
  <c r="M46" i="22"/>
  <c r="L23" i="22"/>
  <c r="L21" i="22" s="1"/>
  <c r="P22" i="22"/>
  <c r="L192" i="21"/>
  <c r="O192" i="21" s="1"/>
  <c r="M189" i="21"/>
  <c r="O80" i="21"/>
  <c r="O178" i="20"/>
  <c r="J351" i="21"/>
  <c r="L243" i="21"/>
  <c r="O243" i="21" s="1"/>
  <c r="L284" i="21"/>
  <c r="L282" i="21" s="1"/>
  <c r="M379" i="21"/>
  <c r="P379" i="21" s="1"/>
  <c r="M322" i="21"/>
  <c r="M320" i="21" s="1"/>
  <c r="P320" i="21" s="1"/>
  <c r="I238" i="21"/>
  <c r="K238" i="21" s="1"/>
  <c r="L96" i="21"/>
  <c r="O96" i="21" s="1"/>
  <c r="N61" i="21"/>
  <c r="N59" i="21" s="1"/>
  <c r="K365" i="21"/>
  <c r="K368" i="21"/>
  <c r="L358" i="21"/>
  <c r="L356" i="21" s="1"/>
  <c r="J343" i="21"/>
  <c r="M326" i="20"/>
  <c r="P326" i="20" s="1"/>
  <c r="K330" i="21"/>
  <c r="L272" i="21"/>
  <c r="O272" i="21" s="1"/>
  <c r="I253" i="21"/>
  <c r="K253" i="21" s="1"/>
  <c r="L236" i="21"/>
  <c r="O181" i="21"/>
  <c r="M159" i="21"/>
  <c r="P159" i="21" s="1"/>
  <c r="O64" i="21"/>
  <c r="K346" i="21"/>
  <c r="O311" i="21"/>
  <c r="M309" i="21"/>
  <c r="P309" i="21" s="1"/>
  <c r="P271" i="21"/>
  <c r="O160" i="21"/>
  <c r="M141" i="21"/>
  <c r="P141" i="21" s="1"/>
  <c r="P99" i="21"/>
  <c r="M74" i="21"/>
  <c r="P74" i="21" s="1"/>
  <c r="P385" i="21"/>
  <c r="O364" i="21"/>
  <c r="P328" i="21"/>
  <c r="O290" i="21"/>
  <c r="P285" i="21"/>
  <c r="L285" i="21"/>
  <c r="O285" i="21" s="1"/>
  <c r="O52" i="21"/>
  <c r="P47" i="21"/>
  <c r="K369" i="21"/>
  <c r="N322" i="21"/>
  <c r="N320" i="21" s="1"/>
  <c r="M284" i="21"/>
  <c r="M282" i="21" s="1"/>
  <c r="K249" i="21"/>
  <c r="M127" i="21"/>
  <c r="P127" i="21" s="1"/>
  <c r="P67" i="21"/>
  <c r="I280" i="21"/>
  <c r="K280" i="21" s="1"/>
  <c r="M179" i="21"/>
  <c r="P179" i="21" s="1"/>
  <c r="N141" i="21"/>
  <c r="N139" i="21" s="1"/>
  <c r="K330" i="20"/>
  <c r="P382" i="21"/>
  <c r="K344" i="21"/>
  <c r="L335" i="21"/>
  <c r="L333" i="21" s="1"/>
  <c r="N305" i="21"/>
  <c r="N303" i="21" s="1"/>
  <c r="P274" i="21"/>
  <c r="K209" i="21"/>
  <c r="L188" i="21"/>
  <c r="L186" i="21" s="1"/>
  <c r="M160" i="21"/>
  <c r="P160" i="21" s="1"/>
  <c r="L141" i="21"/>
  <c r="O141" i="21" s="1"/>
  <c r="P102" i="21"/>
  <c r="I92" i="21"/>
  <c r="K92" i="21" s="1"/>
  <c r="L74" i="21"/>
  <c r="O74" i="21" s="1"/>
  <c r="M50" i="21"/>
  <c r="P50" i="21" s="1"/>
  <c r="N379" i="21"/>
  <c r="N377" i="21" s="1"/>
  <c r="M380" i="21"/>
  <c r="P380" i="21" s="1"/>
  <c r="M305" i="21"/>
  <c r="M303" i="21" s="1"/>
  <c r="P176" i="21"/>
  <c r="O176" i="21"/>
  <c r="M78" i="21"/>
  <c r="P78" i="21" s="1"/>
  <c r="M61" i="21"/>
  <c r="K346" i="20"/>
  <c r="O328" i="20"/>
  <c r="O361" i="21"/>
  <c r="L359" i="21"/>
  <c r="O328" i="21"/>
  <c r="L305" i="21"/>
  <c r="L303" i="21" s="1"/>
  <c r="L254" i="21"/>
  <c r="O254" i="21" s="1"/>
  <c r="J231" i="21"/>
  <c r="J185" i="21" s="1"/>
  <c r="L203" i="21"/>
  <c r="O203" i="21" s="1"/>
  <c r="M175" i="21"/>
  <c r="M173" i="21" s="1"/>
  <c r="O165" i="21"/>
  <c r="L159" i="21"/>
  <c r="O130" i="21"/>
  <c r="N358" i="19"/>
  <c r="N356" i="19" s="1"/>
  <c r="P361" i="21"/>
  <c r="N358" i="21"/>
  <c r="O341" i="21"/>
  <c r="L336" i="21"/>
  <c r="O336" i="21" s="1"/>
  <c r="O325" i="21"/>
  <c r="N323" i="21"/>
  <c r="K302" i="21"/>
  <c r="M288" i="21"/>
  <c r="P288" i="21" s="1"/>
  <c r="L269" i="21"/>
  <c r="O269" i="21" s="1"/>
  <c r="I242" i="21"/>
  <c r="L175" i="21"/>
  <c r="L173" i="21" s="1"/>
  <c r="M163" i="21"/>
  <c r="P163" i="21" s="1"/>
  <c r="N127" i="21"/>
  <c r="N125" i="21" s="1"/>
  <c r="N96" i="21"/>
  <c r="N94" i="21" s="1"/>
  <c r="O77" i="21"/>
  <c r="M46" i="21"/>
  <c r="M44" i="21" s="1"/>
  <c r="P364" i="21"/>
  <c r="M358" i="21"/>
  <c r="L322" i="21"/>
  <c r="O322" i="21" s="1"/>
  <c r="M268" i="21"/>
  <c r="P268" i="21" s="1"/>
  <c r="L233" i="21"/>
  <c r="L222" i="21"/>
  <c r="O222" i="21" s="1"/>
  <c r="K220" i="21"/>
  <c r="L214" i="21"/>
  <c r="O214" i="21" s="1"/>
  <c r="K153" i="21"/>
  <c r="O147" i="21"/>
  <c r="N142" i="21"/>
  <c r="M96" i="21"/>
  <c r="M94" i="21" s="1"/>
  <c r="P94" i="21" s="1"/>
  <c r="M75" i="21"/>
  <c r="P75" i="21" s="1"/>
  <c r="L46" i="21"/>
  <c r="L44" i="21" s="1"/>
  <c r="L160" i="20"/>
  <c r="O160" i="20" s="1"/>
  <c r="O385" i="21"/>
  <c r="O382" i="21"/>
  <c r="P341" i="21"/>
  <c r="P336" i="21"/>
  <c r="L235" i="21"/>
  <c r="P191" i="21"/>
  <c r="N189" i="21"/>
  <c r="O189" i="21" s="1"/>
  <c r="K152" i="21"/>
  <c r="I137" i="21"/>
  <c r="K137" i="21" s="1"/>
  <c r="M145" i="21"/>
  <c r="P145" i="21" s="1"/>
  <c r="O133" i="21"/>
  <c r="I82" i="21"/>
  <c r="N26" i="21"/>
  <c r="N24" i="21" s="1"/>
  <c r="P19" i="21"/>
  <c r="M323" i="21"/>
  <c r="P323" i="21" s="1"/>
  <c r="K369" i="19"/>
  <c r="L188" i="20"/>
  <c r="L186" i="20" s="1"/>
  <c r="P99" i="20"/>
  <c r="N359" i="21"/>
  <c r="K314" i="21"/>
  <c r="N284" i="21"/>
  <c r="N282" i="21" s="1"/>
  <c r="N268" i="21"/>
  <c r="N266" i="21" s="1"/>
  <c r="N175" i="21"/>
  <c r="K167" i="21"/>
  <c r="I168" i="21"/>
  <c r="K168" i="21" s="1"/>
  <c r="O144" i="21"/>
  <c r="L306" i="21"/>
  <c r="K371" i="21"/>
  <c r="O357" i="21"/>
  <c r="N335" i="21"/>
  <c r="N333" i="21" s="1"/>
  <c r="P325" i="21"/>
  <c r="O308" i="21"/>
  <c r="K292" i="21"/>
  <c r="O287" i="21"/>
  <c r="L268" i="21"/>
  <c r="O191" i="21"/>
  <c r="N188" i="21"/>
  <c r="O178" i="21"/>
  <c r="I156" i="21"/>
  <c r="K156" i="21" s="1"/>
  <c r="M131" i="21"/>
  <c r="P131" i="21" s="1"/>
  <c r="O102" i="21"/>
  <c r="L100" i="21"/>
  <c r="O100" i="21" s="1"/>
  <c r="P60" i="21"/>
  <c r="L26" i="21"/>
  <c r="O26" i="21" s="1"/>
  <c r="O47" i="21"/>
  <c r="O25" i="21"/>
  <c r="L233" i="20"/>
  <c r="L379" i="21"/>
  <c r="O379" i="21" s="1"/>
  <c r="J332" i="21"/>
  <c r="K332" i="21" s="1"/>
  <c r="M335" i="21"/>
  <c r="M333" i="21" s="1"/>
  <c r="P308" i="21"/>
  <c r="N306" i="21"/>
  <c r="P306" i="21" s="1"/>
  <c r="P267" i="21"/>
  <c r="I136" i="21"/>
  <c r="K136" i="21" s="1"/>
  <c r="K154" i="21"/>
  <c r="M142" i="21"/>
  <c r="P142" i="21" s="1"/>
  <c r="P130" i="21"/>
  <c r="M23" i="21"/>
  <c r="M128" i="21"/>
  <c r="P128" i="21" s="1"/>
  <c r="K87" i="21"/>
  <c r="I83" i="21"/>
  <c r="M305" i="20"/>
  <c r="M303" i="20" s="1"/>
  <c r="P303" i="20" s="1"/>
  <c r="P338" i="21"/>
  <c r="I172" i="21"/>
  <c r="K172" i="21" s="1"/>
  <c r="O140" i="21"/>
  <c r="O126" i="21"/>
  <c r="O99" i="21"/>
  <c r="L97" i="21"/>
  <c r="O97" i="21" s="1"/>
  <c r="P64" i="21"/>
  <c r="N62" i="21"/>
  <c r="P62" i="21" s="1"/>
  <c r="M26" i="21"/>
  <c r="P26" i="21" s="1"/>
  <c r="O19" i="21"/>
  <c r="O338" i="21"/>
  <c r="P287" i="21"/>
  <c r="P178" i="21"/>
  <c r="P162" i="21"/>
  <c r="I93" i="21"/>
  <c r="K93" i="21" s="1"/>
  <c r="P77" i="21"/>
  <c r="P49" i="21"/>
  <c r="L61" i="21"/>
  <c r="O49" i="21"/>
  <c r="N23" i="21"/>
  <c r="L127" i="21"/>
  <c r="O127" i="21" s="1"/>
  <c r="N74" i="21"/>
  <c r="N72" i="21" s="1"/>
  <c r="L65" i="21"/>
  <c r="O65" i="21" s="1"/>
  <c r="L62" i="21"/>
  <c r="N46" i="21"/>
  <c r="N44" i="21" s="1"/>
  <c r="K229" i="21"/>
  <c r="N50" i="21"/>
  <c r="L23" i="21"/>
  <c r="P22" i="21"/>
  <c r="O181" i="19"/>
  <c r="L235" i="20"/>
  <c r="M188" i="20"/>
  <c r="M186" i="20" s="1"/>
  <c r="L176" i="20"/>
  <c r="O176" i="20" s="1"/>
  <c r="O99" i="20"/>
  <c r="P290" i="20"/>
  <c r="L214" i="20"/>
  <c r="O214" i="20" s="1"/>
  <c r="P382" i="20"/>
  <c r="K229" i="20"/>
  <c r="M192" i="20"/>
  <c r="P192" i="20" s="1"/>
  <c r="N74" i="20"/>
  <c r="N72" i="20" s="1"/>
  <c r="P385" i="20"/>
  <c r="L254" i="20"/>
  <c r="O254" i="20" s="1"/>
  <c r="K249" i="20"/>
  <c r="L222" i="20"/>
  <c r="O222" i="20" s="1"/>
  <c r="L203" i="20"/>
  <c r="O203" i="20" s="1"/>
  <c r="I92" i="20"/>
  <c r="K92" i="20" s="1"/>
  <c r="O162" i="19"/>
  <c r="N268" i="20"/>
  <c r="N266" i="20" s="1"/>
  <c r="L74" i="20"/>
  <c r="O74" i="20" s="1"/>
  <c r="M268" i="20"/>
  <c r="P268" i="20" s="1"/>
  <c r="O189" i="20"/>
  <c r="N159" i="20"/>
  <c r="N157" i="20" s="1"/>
  <c r="M379" i="20"/>
  <c r="P379" i="20" s="1"/>
  <c r="O338" i="20"/>
  <c r="P287" i="20"/>
  <c r="L379" i="20"/>
  <c r="O379" i="20" s="1"/>
  <c r="N284" i="20"/>
  <c r="N282" i="20" s="1"/>
  <c r="O194" i="20"/>
  <c r="O80" i="20"/>
  <c r="N75" i="20"/>
  <c r="N46" i="20"/>
  <c r="N44" i="20" s="1"/>
  <c r="M335" i="20"/>
  <c r="L305" i="20"/>
  <c r="O305" i="20" s="1"/>
  <c r="M61" i="20"/>
  <c r="M59" i="20" s="1"/>
  <c r="N358" i="20"/>
  <c r="N356" i="20" s="1"/>
  <c r="J351" i="20"/>
  <c r="L127" i="20"/>
  <c r="O127" i="20" s="1"/>
  <c r="L46" i="20"/>
  <c r="L284" i="19"/>
  <c r="O284" i="19" s="1"/>
  <c r="K249" i="19"/>
  <c r="M358" i="20"/>
  <c r="M356" i="20" s="1"/>
  <c r="N322" i="20"/>
  <c r="K314" i="20"/>
  <c r="O287" i="20"/>
  <c r="N285" i="20"/>
  <c r="P274" i="20"/>
  <c r="L236" i="20"/>
  <c r="O147" i="20"/>
  <c r="O361" i="20"/>
  <c r="J343" i="20"/>
  <c r="M322" i="20"/>
  <c r="P322" i="20" s="1"/>
  <c r="O274" i="20"/>
  <c r="L175" i="20"/>
  <c r="L173" i="20" s="1"/>
  <c r="L159" i="20"/>
  <c r="O159" i="20" s="1"/>
  <c r="N141" i="20"/>
  <c r="N139" i="20" s="1"/>
  <c r="P102" i="20"/>
  <c r="M96" i="20"/>
  <c r="P96" i="20" s="1"/>
  <c r="O77" i="20"/>
  <c r="O52" i="20"/>
  <c r="K154" i="19"/>
  <c r="P378" i="20"/>
  <c r="K344" i="20"/>
  <c r="N305" i="20"/>
  <c r="N303" i="20" s="1"/>
  <c r="K292" i="20"/>
  <c r="O271" i="20"/>
  <c r="N269" i="20"/>
  <c r="K221" i="20"/>
  <c r="O181" i="20"/>
  <c r="O165" i="20"/>
  <c r="O133" i="20"/>
  <c r="O102" i="20"/>
  <c r="L75" i="20"/>
  <c r="O75" i="20" s="1"/>
  <c r="P67" i="20"/>
  <c r="M62" i="20"/>
  <c r="N47" i="20"/>
  <c r="P47" i="20" s="1"/>
  <c r="M19" i="20"/>
  <c r="P19" i="20" s="1"/>
  <c r="N335" i="20"/>
  <c r="N333" i="20" s="1"/>
  <c r="N320" i="20"/>
  <c r="L268" i="20"/>
  <c r="O268" i="20" s="1"/>
  <c r="N175" i="20"/>
  <c r="N173" i="20" s="1"/>
  <c r="L141" i="20"/>
  <c r="O141" i="20" s="1"/>
  <c r="N127" i="20"/>
  <c r="N125" i="20" s="1"/>
  <c r="K109" i="20"/>
  <c r="L47" i="20"/>
  <c r="N19" i="20"/>
  <c r="M333" i="20"/>
  <c r="P189" i="20"/>
  <c r="L142" i="20"/>
  <c r="O142" i="20" s="1"/>
  <c r="M128" i="20"/>
  <c r="P128" i="20" s="1"/>
  <c r="L188" i="19"/>
  <c r="L186" i="19" s="1"/>
  <c r="L383" i="20"/>
  <c r="O383" i="20" s="1"/>
  <c r="L380" i="20"/>
  <c r="O380" i="20" s="1"/>
  <c r="M362" i="20"/>
  <c r="P362" i="20" s="1"/>
  <c r="M359" i="20"/>
  <c r="P359" i="20" s="1"/>
  <c r="L358" i="20"/>
  <c r="M339" i="20"/>
  <c r="P339" i="20" s="1"/>
  <c r="M336" i="20"/>
  <c r="P336" i="20" s="1"/>
  <c r="L335" i="20"/>
  <c r="J332" i="20"/>
  <c r="L309" i="20"/>
  <c r="O309" i="20" s="1"/>
  <c r="M269" i="20"/>
  <c r="P269" i="20" s="1"/>
  <c r="I213" i="20"/>
  <c r="K213" i="20" s="1"/>
  <c r="M160" i="20"/>
  <c r="P160" i="20" s="1"/>
  <c r="P162" i="20"/>
  <c r="N160" i="20"/>
  <c r="K152" i="20"/>
  <c r="I137" i="20"/>
  <c r="K137" i="20" s="1"/>
  <c r="M145" i="20"/>
  <c r="P145" i="20" s="1"/>
  <c r="O140" i="20"/>
  <c r="I138" i="20"/>
  <c r="K138" i="20" s="1"/>
  <c r="L128" i="20"/>
  <c r="O128" i="20" s="1"/>
  <c r="P64" i="20"/>
  <c r="N62" i="20"/>
  <c r="I83" i="20"/>
  <c r="K85" i="20"/>
  <c r="L234" i="19"/>
  <c r="P165" i="19"/>
  <c r="I365" i="20"/>
  <c r="K365" i="20" s="1"/>
  <c r="L362" i="20"/>
  <c r="O362" i="20" s="1"/>
  <c r="L359" i="20"/>
  <c r="O359" i="20" s="1"/>
  <c r="L339" i="20"/>
  <c r="O339" i="20" s="1"/>
  <c r="L336" i="20"/>
  <c r="O336" i="20" s="1"/>
  <c r="I332" i="20"/>
  <c r="P308" i="20"/>
  <c r="K293" i="20"/>
  <c r="O290" i="20"/>
  <c r="M284" i="20"/>
  <c r="P284" i="20" s="1"/>
  <c r="L234" i="20"/>
  <c r="J231" i="20"/>
  <c r="J185" i="20" s="1"/>
  <c r="O191" i="20"/>
  <c r="M179" i="20"/>
  <c r="P179" i="20" s="1"/>
  <c r="P181" i="20"/>
  <c r="N179" i="20"/>
  <c r="I172" i="20"/>
  <c r="K172" i="20" s="1"/>
  <c r="M141" i="20"/>
  <c r="M131" i="20"/>
  <c r="P131" i="20" s="1"/>
  <c r="O126" i="20"/>
  <c r="N96" i="20"/>
  <c r="N94" i="20" s="1"/>
  <c r="M78" i="20"/>
  <c r="P78" i="20" s="1"/>
  <c r="P80" i="20"/>
  <c r="N61" i="20"/>
  <c r="N59" i="20" s="1"/>
  <c r="M309" i="20"/>
  <c r="P309" i="20" s="1"/>
  <c r="O338" i="19"/>
  <c r="K330" i="19"/>
  <c r="K153" i="19"/>
  <c r="O382" i="20"/>
  <c r="P361" i="20"/>
  <c r="O357" i="20"/>
  <c r="P338" i="20"/>
  <c r="O334" i="20"/>
  <c r="L322" i="20"/>
  <c r="O322" i="20" s="1"/>
  <c r="L323" i="20"/>
  <c r="O323" i="20" s="1"/>
  <c r="O321" i="20"/>
  <c r="P311" i="20"/>
  <c r="O308" i="20"/>
  <c r="L284" i="20"/>
  <c r="O284" i="20" s="1"/>
  <c r="I253" i="20"/>
  <c r="K253" i="20" s="1"/>
  <c r="K260" i="20"/>
  <c r="L243" i="20"/>
  <c r="I202" i="20"/>
  <c r="K202" i="20" s="1"/>
  <c r="N188" i="20"/>
  <c r="N186" i="20" s="1"/>
  <c r="M163" i="20"/>
  <c r="P163" i="20" s="1"/>
  <c r="P165" i="20"/>
  <c r="I156" i="20"/>
  <c r="K156" i="20" s="1"/>
  <c r="O144" i="20"/>
  <c r="M127" i="20"/>
  <c r="L96" i="20"/>
  <c r="O64" i="20"/>
  <c r="N26" i="20"/>
  <c r="N24" i="20" s="1"/>
  <c r="O25" i="20"/>
  <c r="L306" i="20"/>
  <c r="O306" i="20" s="1"/>
  <c r="M176" i="20"/>
  <c r="P176" i="20" s="1"/>
  <c r="P178" i="20"/>
  <c r="P95" i="20"/>
  <c r="P99" i="19"/>
  <c r="N379" i="20"/>
  <c r="N377" i="20" s="1"/>
  <c r="O283" i="20"/>
  <c r="P271" i="20"/>
  <c r="L192" i="20"/>
  <c r="O192" i="20" s="1"/>
  <c r="M175" i="20"/>
  <c r="O130" i="20"/>
  <c r="O49" i="19"/>
  <c r="O47" i="19"/>
  <c r="P325" i="20"/>
  <c r="I238" i="20"/>
  <c r="K238" i="20" s="1"/>
  <c r="K198" i="20"/>
  <c r="P191" i="20"/>
  <c r="M159" i="20"/>
  <c r="M142" i="20"/>
  <c r="P142" i="20" s="1"/>
  <c r="I136" i="20"/>
  <c r="K136" i="20" s="1"/>
  <c r="I82" i="20"/>
  <c r="P60" i="20"/>
  <c r="L26" i="20"/>
  <c r="O26" i="20" s="1"/>
  <c r="M26" i="20"/>
  <c r="L19" i="20"/>
  <c r="P77" i="20"/>
  <c r="O73" i="20"/>
  <c r="P52" i="20"/>
  <c r="P49" i="20"/>
  <c r="O45" i="20"/>
  <c r="L61" i="20"/>
  <c r="O49" i="20"/>
  <c r="N23" i="20"/>
  <c r="L65" i="20"/>
  <c r="O65" i="20" s="1"/>
  <c r="L62" i="20"/>
  <c r="M23" i="20"/>
  <c r="M21" i="20" s="1"/>
  <c r="M74" i="20"/>
  <c r="P74" i="20" s="1"/>
  <c r="M46" i="20"/>
  <c r="L23" i="20"/>
  <c r="L21" i="20" s="1"/>
  <c r="P22" i="20"/>
  <c r="L236" i="19"/>
  <c r="O165" i="19"/>
  <c r="L160" i="19"/>
  <c r="O160" i="19" s="1"/>
  <c r="P328" i="19"/>
  <c r="L203" i="19"/>
  <c r="O203" i="19" s="1"/>
  <c r="I195" i="19"/>
  <c r="K195" i="19" s="1"/>
  <c r="I93" i="19"/>
  <c r="K93" i="19" s="1"/>
  <c r="L78" i="19"/>
  <c r="O78" i="19" s="1"/>
  <c r="K344" i="19"/>
  <c r="L233" i="19"/>
  <c r="M188" i="19"/>
  <c r="M186" i="19" s="1"/>
  <c r="P338" i="19"/>
  <c r="N188" i="19"/>
  <c r="N186" i="19" s="1"/>
  <c r="I92" i="19"/>
  <c r="K92" i="19" s="1"/>
  <c r="K108" i="19"/>
  <c r="L75" i="19"/>
  <c r="O75" i="19" s="1"/>
  <c r="O77" i="19"/>
  <c r="J351" i="19"/>
  <c r="L288" i="19"/>
  <c r="O288" i="19" s="1"/>
  <c r="O290" i="19"/>
  <c r="K293" i="19"/>
  <c r="I280" i="19"/>
  <c r="K280" i="19" s="1"/>
  <c r="P181" i="19"/>
  <c r="L128" i="19"/>
  <c r="O128" i="19" s="1"/>
  <c r="O130" i="19"/>
  <c r="P77" i="19"/>
  <c r="M322" i="19"/>
  <c r="M320" i="19" s="1"/>
  <c r="P320" i="19" s="1"/>
  <c r="P290" i="19"/>
  <c r="L131" i="19"/>
  <c r="O131" i="19" s="1"/>
  <c r="O133" i="19"/>
  <c r="P176" i="19"/>
  <c r="L243" i="19"/>
  <c r="L175" i="19"/>
  <c r="L173" i="19" s="1"/>
  <c r="J351" i="18"/>
  <c r="P361" i="19"/>
  <c r="P325" i="19"/>
  <c r="N305" i="19"/>
  <c r="N303" i="19" s="1"/>
  <c r="L254" i="19"/>
  <c r="O254" i="19" s="1"/>
  <c r="K229" i="19"/>
  <c r="P178" i="19"/>
  <c r="P162" i="19"/>
  <c r="O147" i="19"/>
  <c r="P80" i="19"/>
  <c r="O64" i="19"/>
  <c r="P52" i="19"/>
  <c r="L46" i="19"/>
  <c r="L44" i="19" s="1"/>
  <c r="N284" i="18"/>
  <c r="N282" i="18" s="1"/>
  <c r="K371" i="19"/>
  <c r="O361" i="19"/>
  <c r="N335" i="19"/>
  <c r="N333" i="19" s="1"/>
  <c r="O325" i="19"/>
  <c r="P287" i="19"/>
  <c r="K221" i="19"/>
  <c r="I213" i="19"/>
  <c r="K213" i="19" s="1"/>
  <c r="O178" i="19"/>
  <c r="L176" i="19"/>
  <c r="O176" i="19" s="1"/>
  <c r="N141" i="19"/>
  <c r="N139" i="19" s="1"/>
  <c r="O144" i="19"/>
  <c r="P102" i="19"/>
  <c r="L74" i="19"/>
  <c r="L72" i="19" s="1"/>
  <c r="O72" i="19" s="1"/>
  <c r="O52" i="19"/>
  <c r="O287" i="19"/>
  <c r="L285" i="19"/>
  <c r="O285" i="19" s="1"/>
  <c r="P49" i="19"/>
  <c r="N379" i="19"/>
  <c r="N377" i="19" s="1"/>
  <c r="K365" i="19"/>
  <c r="K368" i="19"/>
  <c r="L214" i="19"/>
  <c r="O214" i="19" s="1"/>
  <c r="P191" i="19"/>
  <c r="M19" i="19"/>
  <c r="L46" i="18"/>
  <c r="L44" i="18" s="1"/>
  <c r="M379" i="19"/>
  <c r="M377" i="19" s="1"/>
  <c r="P377" i="19" s="1"/>
  <c r="K346" i="19"/>
  <c r="K314" i="19"/>
  <c r="I238" i="19"/>
  <c r="K238" i="19" s="1"/>
  <c r="L222" i="19"/>
  <c r="O222" i="19" s="1"/>
  <c r="L159" i="19"/>
  <c r="L157" i="19" s="1"/>
  <c r="O142" i="19"/>
  <c r="M96" i="19"/>
  <c r="M94" i="19" s="1"/>
  <c r="P94" i="19" s="1"/>
  <c r="P130" i="19"/>
  <c r="M128" i="19"/>
  <c r="P128" i="19" s="1"/>
  <c r="M383" i="19"/>
  <c r="P383" i="19" s="1"/>
  <c r="M380" i="19"/>
  <c r="P380" i="19" s="1"/>
  <c r="L379" i="19"/>
  <c r="O379" i="19" s="1"/>
  <c r="N359" i="19"/>
  <c r="M358" i="19"/>
  <c r="J332" i="19"/>
  <c r="K332" i="19" s="1"/>
  <c r="N336" i="19"/>
  <c r="M335" i="19"/>
  <c r="M333" i="19" s="1"/>
  <c r="L306" i="19"/>
  <c r="O306" i="19" s="1"/>
  <c r="M272" i="19"/>
  <c r="P272" i="19" s="1"/>
  <c r="M268" i="19"/>
  <c r="P268" i="19" s="1"/>
  <c r="N192" i="19"/>
  <c r="K167" i="19"/>
  <c r="I168" i="19"/>
  <c r="K168" i="19" s="1"/>
  <c r="I156" i="19"/>
  <c r="K156" i="19" s="1"/>
  <c r="P147" i="19"/>
  <c r="M145" i="19"/>
  <c r="P145" i="19" s="1"/>
  <c r="N145" i="19"/>
  <c r="M141" i="19"/>
  <c r="L96" i="19"/>
  <c r="O96" i="19" s="1"/>
  <c r="K87" i="19"/>
  <c r="I83" i="19"/>
  <c r="M65" i="19"/>
  <c r="P65" i="19" s="1"/>
  <c r="L322" i="19"/>
  <c r="O322" i="19" s="1"/>
  <c r="N268" i="19"/>
  <c r="N266" i="19" s="1"/>
  <c r="L26" i="19"/>
  <c r="O26" i="19" s="1"/>
  <c r="O338" i="18"/>
  <c r="L383" i="19"/>
  <c r="O383" i="19" s="1"/>
  <c r="L380" i="19"/>
  <c r="O380" i="19" s="1"/>
  <c r="M362" i="19"/>
  <c r="P362" i="19" s="1"/>
  <c r="M359" i="19"/>
  <c r="L358" i="19"/>
  <c r="M339" i="19"/>
  <c r="P339" i="19" s="1"/>
  <c r="M336" i="19"/>
  <c r="L335" i="19"/>
  <c r="L333" i="19" s="1"/>
  <c r="N309" i="19"/>
  <c r="I281" i="19"/>
  <c r="K281" i="19" s="1"/>
  <c r="L272" i="19"/>
  <c r="O272" i="19" s="1"/>
  <c r="L268" i="19"/>
  <c r="O268" i="19" s="1"/>
  <c r="I253" i="19"/>
  <c r="K253" i="19" s="1"/>
  <c r="L235" i="19"/>
  <c r="K242" i="19"/>
  <c r="M192" i="19"/>
  <c r="P192" i="19" s="1"/>
  <c r="N127" i="19"/>
  <c r="N125" i="19" s="1"/>
  <c r="O67" i="19"/>
  <c r="L65" i="19"/>
  <c r="O65" i="19" s="1"/>
  <c r="N23" i="19"/>
  <c r="N62" i="19"/>
  <c r="P47" i="19"/>
  <c r="M61" i="18"/>
  <c r="M59" i="18" s="1"/>
  <c r="P382" i="19"/>
  <c r="O378" i="19"/>
  <c r="L362" i="19"/>
  <c r="O362" i="19" s="1"/>
  <c r="L359" i="19"/>
  <c r="P357" i="19"/>
  <c r="J343" i="19"/>
  <c r="L339" i="19"/>
  <c r="O339" i="19" s="1"/>
  <c r="L336" i="19"/>
  <c r="P334" i="19"/>
  <c r="O328" i="19"/>
  <c r="M309" i="19"/>
  <c r="P309" i="19" s="1"/>
  <c r="M305" i="19"/>
  <c r="P305" i="19" s="1"/>
  <c r="N284" i="19"/>
  <c r="N282" i="19" s="1"/>
  <c r="K260" i="19"/>
  <c r="O194" i="19"/>
  <c r="L192" i="19"/>
  <c r="O192" i="19" s="1"/>
  <c r="P187" i="19"/>
  <c r="P133" i="19"/>
  <c r="M131" i="19"/>
  <c r="P131" i="19" s="1"/>
  <c r="M127" i="19"/>
  <c r="L100" i="19"/>
  <c r="O100" i="19" s="1"/>
  <c r="P64" i="19"/>
  <c r="M23" i="19"/>
  <c r="M62" i="19"/>
  <c r="N61" i="19"/>
  <c r="N59" i="19" s="1"/>
  <c r="O271" i="18"/>
  <c r="P165" i="18"/>
  <c r="O130" i="18"/>
  <c r="O334" i="19"/>
  <c r="L309" i="19"/>
  <c r="O309" i="19" s="1"/>
  <c r="L305" i="19"/>
  <c r="O305" i="19" s="1"/>
  <c r="P283" i="19"/>
  <c r="M269" i="19"/>
  <c r="P269" i="19" s="1"/>
  <c r="I202" i="19"/>
  <c r="K202" i="19" s="1"/>
  <c r="M189" i="19"/>
  <c r="P189" i="19" s="1"/>
  <c r="I172" i="19"/>
  <c r="K172" i="19" s="1"/>
  <c r="P144" i="19"/>
  <c r="M142" i="19"/>
  <c r="P142" i="19" s="1"/>
  <c r="I137" i="19"/>
  <c r="K137" i="19" s="1"/>
  <c r="I82" i="19"/>
  <c r="M61" i="19"/>
  <c r="M59" i="19" s="1"/>
  <c r="O25" i="19"/>
  <c r="P19" i="19"/>
  <c r="L19" i="19"/>
  <c r="M306" i="19"/>
  <c r="P306" i="19" s="1"/>
  <c r="P60" i="19"/>
  <c r="P194" i="18"/>
  <c r="P80" i="18"/>
  <c r="P304" i="19"/>
  <c r="L269" i="19"/>
  <c r="O269" i="19" s="1"/>
  <c r="O191" i="19"/>
  <c r="L189" i="19"/>
  <c r="O189" i="19" s="1"/>
  <c r="L97" i="19"/>
  <c r="O97" i="19" s="1"/>
  <c r="N26" i="19"/>
  <c r="N24" i="19" s="1"/>
  <c r="M26" i="19"/>
  <c r="P26" i="19" s="1"/>
  <c r="L61" i="19"/>
  <c r="L59" i="19" s="1"/>
  <c r="N175" i="19"/>
  <c r="N173" i="19" s="1"/>
  <c r="N159" i="19"/>
  <c r="N157" i="19" s="1"/>
  <c r="L141" i="19"/>
  <c r="L127" i="19"/>
  <c r="O127" i="19" s="1"/>
  <c r="N74" i="19"/>
  <c r="N72" i="19" s="1"/>
  <c r="L62" i="19"/>
  <c r="N46" i="19"/>
  <c r="N44" i="19" s="1"/>
  <c r="N322" i="19"/>
  <c r="N320" i="19" s="1"/>
  <c r="M284" i="19"/>
  <c r="P284" i="19" s="1"/>
  <c r="M175" i="19"/>
  <c r="M159" i="19"/>
  <c r="N96" i="19"/>
  <c r="N94" i="19" s="1"/>
  <c r="M74" i="19"/>
  <c r="N50" i="19"/>
  <c r="M46" i="19"/>
  <c r="L23" i="19"/>
  <c r="P22" i="19"/>
  <c r="K344" i="18"/>
  <c r="M305" i="18"/>
  <c r="M303" i="18" s="1"/>
  <c r="P303" i="18" s="1"/>
  <c r="L175" i="18"/>
  <c r="L173" i="18" s="1"/>
  <c r="I302" i="18"/>
  <c r="K302" i="18" s="1"/>
  <c r="O287" i="18"/>
  <c r="N285" i="18"/>
  <c r="L97" i="18"/>
  <c r="O97" i="18" s="1"/>
  <c r="L74" i="18"/>
  <c r="L72" i="18" s="1"/>
  <c r="K346" i="18"/>
  <c r="O147" i="18"/>
  <c r="P144" i="18"/>
  <c r="O133" i="18"/>
  <c r="L322" i="18"/>
  <c r="L320" i="18" s="1"/>
  <c r="M272" i="18"/>
  <c r="P272" i="18" s="1"/>
  <c r="P274" i="18"/>
  <c r="O181" i="18"/>
  <c r="L179" i="18"/>
  <c r="O179" i="18" s="1"/>
  <c r="K371" i="18"/>
  <c r="K368" i="18"/>
  <c r="O80" i="18"/>
  <c r="L78" i="18"/>
  <c r="O78" i="18" s="1"/>
  <c r="I136" i="18"/>
  <c r="K136" i="18" s="1"/>
  <c r="K154" i="18"/>
  <c r="O328" i="18"/>
  <c r="O325" i="18"/>
  <c r="L323" i="18"/>
  <c r="O361" i="18"/>
  <c r="O52" i="18"/>
  <c r="L50" i="18"/>
  <c r="O50" i="18" s="1"/>
  <c r="L222" i="18"/>
  <c r="O222" i="18" s="1"/>
  <c r="O67" i="18"/>
  <c r="I240" i="18"/>
  <c r="K240" i="18" s="1"/>
  <c r="I172" i="18"/>
  <c r="K172" i="18" s="1"/>
  <c r="M127" i="18"/>
  <c r="P127" i="18" s="1"/>
  <c r="M268" i="18"/>
  <c r="M266" i="18" s="1"/>
  <c r="P266" i="18" s="1"/>
  <c r="K221" i="18"/>
  <c r="L61" i="18"/>
  <c r="L59" i="18" s="1"/>
  <c r="L243" i="18"/>
  <c r="O243" i="18" s="1"/>
  <c r="I242" i="18"/>
  <c r="K242" i="18" s="1"/>
  <c r="I332" i="18"/>
  <c r="L188" i="18"/>
  <c r="L186" i="18" s="1"/>
  <c r="K369" i="18"/>
  <c r="O364" i="18"/>
  <c r="O341" i="18"/>
  <c r="K330" i="18"/>
  <c r="P325" i="18"/>
  <c r="N322" i="18"/>
  <c r="L234" i="18"/>
  <c r="L235" i="18"/>
  <c r="K229" i="18"/>
  <c r="I195" i="18"/>
  <c r="K195" i="18" s="1"/>
  <c r="P178" i="18"/>
  <c r="L159" i="18"/>
  <c r="O159" i="18" s="1"/>
  <c r="O144" i="18"/>
  <c r="K108" i="18"/>
  <c r="P77" i="18"/>
  <c r="L75" i="18"/>
  <c r="O75" i="18" s="1"/>
  <c r="L305" i="17"/>
  <c r="L303" i="17" s="1"/>
  <c r="K365" i="18"/>
  <c r="M322" i="18"/>
  <c r="N305" i="18"/>
  <c r="N303" i="18" s="1"/>
  <c r="K292" i="18"/>
  <c r="L214" i="18"/>
  <c r="O214" i="18" s="1"/>
  <c r="I213" i="18"/>
  <c r="K213" i="18" s="1"/>
  <c r="N175" i="18"/>
  <c r="N173" i="18" s="1"/>
  <c r="L176" i="18"/>
  <c r="O176" i="18" s="1"/>
  <c r="K153" i="18"/>
  <c r="M131" i="18"/>
  <c r="P131" i="18" s="1"/>
  <c r="M100" i="18"/>
  <c r="P100" i="18" s="1"/>
  <c r="P52" i="18"/>
  <c r="P328" i="18"/>
  <c r="L284" i="18"/>
  <c r="O284" i="18" s="1"/>
  <c r="O274" i="18"/>
  <c r="K260" i="18"/>
  <c r="L203" i="18"/>
  <c r="O203" i="18" s="1"/>
  <c r="O194" i="18"/>
  <c r="L189" i="18"/>
  <c r="P176" i="18"/>
  <c r="L163" i="18"/>
  <c r="O163" i="18" s="1"/>
  <c r="P147" i="18"/>
  <c r="M141" i="18"/>
  <c r="P141" i="18" s="1"/>
  <c r="P130" i="18"/>
  <c r="I93" i="18"/>
  <c r="K93" i="18" s="1"/>
  <c r="L62" i="18"/>
  <c r="P49" i="18"/>
  <c r="L47" i="18"/>
  <c r="O47" i="18" s="1"/>
  <c r="L26" i="18"/>
  <c r="O26" i="18" s="1"/>
  <c r="N19" i="18"/>
  <c r="N379" i="18"/>
  <c r="N377" i="18" s="1"/>
  <c r="P361" i="18"/>
  <c r="P338" i="18"/>
  <c r="P290" i="18"/>
  <c r="I238" i="18"/>
  <c r="K238" i="18" s="1"/>
  <c r="O191" i="18"/>
  <c r="P162" i="18"/>
  <c r="M96" i="18"/>
  <c r="P96" i="18" s="1"/>
  <c r="O64" i="18"/>
  <c r="K108" i="17"/>
  <c r="M379" i="18"/>
  <c r="P379" i="18" s="1"/>
  <c r="L358" i="18"/>
  <c r="L356" i="18" s="1"/>
  <c r="J343" i="18"/>
  <c r="L335" i="18"/>
  <c r="L333" i="18" s="1"/>
  <c r="P287" i="18"/>
  <c r="N268" i="18"/>
  <c r="N266" i="18" s="1"/>
  <c r="L268" i="18"/>
  <c r="O268" i="18" s="1"/>
  <c r="L254" i="18"/>
  <c r="O254" i="18" s="1"/>
  <c r="K169" i="18"/>
  <c r="M128" i="18"/>
  <c r="P128" i="18" s="1"/>
  <c r="M19" i="18"/>
  <c r="P19" i="18" s="1"/>
  <c r="N189" i="18"/>
  <c r="P189" i="18" s="1"/>
  <c r="N26" i="18"/>
  <c r="N24" i="18" s="1"/>
  <c r="M383" i="18"/>
  <c r="P383" i="18" s="1"/>
  <c r="M380" i="18"/>
  <c r="P380" i="18" s="1"/>
  <c r="L379" i="18"/>
  <c r="O379" i="18" s="1"/>
  <c r="N359" i="18"/>
  <c r="O359" i="18" s="1"/>
  <c r="M358" i="18"/>
  <c r="N336" i="18"/>
  <c r="O336" i="18" s="1"/>
  <c r="M335" i="18"/>
  <c r="M333" i="18" s="1"/>
  <c r="L309" i="18"/>
  <c r="O309" i="18" s="1"/>
  <c r="M269" i="18"/>
  <c r="P269" i="18" s="1"/>
  <c r="K87" i="18"/>
  <c r="I83" i="18"/>
  <c r="N335" i="18"/>
  <c r="N333" i="18" s="1"/>
  <c r="M309" i="18"/>
  <c r="P309" i="18" s="1"/>
  <c r="O385" i="17"/>
  <c r="O382" i="17"/>
  <c r="J332" i="17"/>
  <c r="K332" i="17" s="1"/>
  <c r="I202" i="17"/>
  <c r="K202" i="17" s="1"/>
  <c r="O194" i="17"/>
  <c r="L383" i="18"/>
  <c r="O383" i="18" s="1"/>
  <c r="L380" i="18"/>
  <c r="O380" i="18" s="1"/>
  <c r="M362" i="18"/>
  <c r="P362" i="18" s="1"/>
  <c r="M359" i="18"/>
  <c r="M339" i="18"/>
  <c r="P339" i="18" s="1"/>
  <c r="M336" i="18"/>
  <c r="J332" i="18"/>
  <c r="N323" i="18"/>
  <c r="P308" i="18"/>
  <c r="K293" i="18"/>
  <c r="O290" i="18"/>
  <c r="M284" i="18"/>
  <c r="P284" i="18" s="1"/>
  <c r="L236" i="18"/>
  <c r="I137" i="18"/>
  <c r="K137" i="18" s="1"/>
  <c r="N127" i="18"/>
  <c r="N125" i="18" s="1"/>
  <c r="L100" i="18"/>
  <c r="O100" i="18" s="1"/>
  <c r="P75" i="18"/>
  <c r="P67" i="18"/>
  <c r="M65" i="18"/>
  <c r="P65" i="18" s="1"/>
  <c r="P60" i="18"/>
  <c r="P47" i="18"/>
  <c r="L339" i="17"/>
  <c r="O339" i="17" s="1"/>
  <c r="L234" i="17"/>
  <c r="P382" i="18"/>
  <c r="O378" i="18"/>
  <c r="P357" i="18"/>
  <c r="P334" i="18"/>
  <c r="O321" i="18"/>
  <c r="P311" i="18"/>
  <c r="O308" i="18"/>
  <c r="I241" i="18"/>
  <c r="K241" i="18" s="1"/>
  <c r="N188" i="18"/>
  <c r="N186" i="18" s="1"/>
  <c r="N62" i="18"/>
  <c r="O25" i="18"/>
  <c r="N358" i="18"/>
  <c r="N356" i="18" s="1"/>
  <c r="L305" i="18"/>
  <c r="O305" i="18" s="1"/>
  <c r="O283" i="18"/>
  <c r="P271" i="18"/>
  <c r="M188" i="18"/>
  <c r="M186" i="18" s="1"/>
  <c r="L96" i="18"/>
  <c r="I82" i="18"/>
  <c r="P64" i="18"/>
  <c r="M62" i="18"/>
  <c r="L19" i="18"/>
  <c r="L233" i="18"/>
  <c r="K209" i="18"/>
  <c r="P191" i="18"/>
  <c r="P181" i="18"/>
  <c r="N141" i="18"/>
  <c r="N139" i="18" s="1"/>
  <c r="N61" i="18"/>
  <c r="N59" i="18" s="1"/>
  <c r="M26" i="18"/>
  <c r="O178" i="18"/>
  <c r="O162" i="18"/>
  <c r="P99" i="18"/>
  <c r="O77" i="18"/>
  <c r="O49" i="18"/>
  <c r="P25" i="18"/>
  <c r="N23" i="18"/>
  <c r="N159" i="18"/>
  <c r="N157" i="18" s="1"/>
  <c r="L141" i="18"/>
  <c r="L127" i="18"/>
  <c r="N74" i="18"/>
  <c r="N72" i="18" s="1"/>
  <c r="N46" i="18"/>
  <c r="N44" i="18" s="1"/>
  <c r="M23" i="18"/>
  <c r="M175" i="18"/>
  <c r="M173" i="18" s="1"/>
  <c r="M159" i="18"/>
  <c r="P159" i="18" s="1"/>
  <c r="N96" i="18"/>
  <c r="N94" i="18" s="1"/>
  <c r="M74" i="18"/>
  <c r="N50" i="18"/>
  <c r="M46" i="18"/>
  <c r="L23" i="18"/>
  <c r="I242" i="17"/>
  <c r="O62" i="17"/>
  <c r="O194" i="16"/>
  <c r="I253" i="17"/>
  <c r="K253" i="17" s="1"/>
  <c r="K365" i="17"/>
  <c r="K346" i="17"/>
  <c r="O287" i="17"/>
  <c r="M285" i="17"/>
  <c r="P285" i="17" s="1"/>
  <c r="P274" i="17"/>
  <c r="P271" i="17"/>
  <c r="L188" i="17"/>
  <c r="L186" i="17" s="1"/>
  <c r="P361" i="16"/>
  <c r="K344" i="16"/>
  <c r="P311" i="17"/>
  <c r="N74" i="17"/>
  <c r="J351" i="17"/>
  <c r="L203" i="17"/>
  <c r="O203" i="17" s="1"/>
  <c r="P176" i="17"/>
  <c r="N358" i="17"/>
  <c r="N356" i="17" s="1"/>
  <c r="K344" i="17"/>
  <c r="L222" i="17"/>
  <c r="O222" i="17" s="1"/>
  <c r="K220" i="17"/>
  <c r="L214" i="17"/>
  <c r="O214" i="17" s="1"/>
  <c r="P102" i="17"/>
  <c r="O77" i="17"/>
  <c r="N75" i="17"/>
  <c r="O75" i="17" s="1"/>
  <c r="P67" i="17"/>
  <c r="J343" i="17"/>
  <c r="O364" i="16"/>
  <c r="L358" i="17"/>
  <c r="L356" i="17" s="1"/>
  <c r="O328" i="17"/>
  <c r="I168" i="17"/>
  <c r="K168" i="17" s="1"/>
  <c r="P147" i="17"/>
  <c r="P144" i="17"/>
  <c r="P130" i="17"/>
  <c r="M74" i="17"/>
  <c r="M72" i="17" s="1"/>
  <c r="O49" i="17"/>
  <c r="P341" i="17"/>
  <c r="N322" i="17"/>
  <c r="N320" i="17" s="1"/>
  <c r="K153" i="17"/>
  <c r="P385" i="17"/>
  <c r="N379" i="17"/>
  <c r="N377" i="17" s="1"/>
  <c r="N380" i="17"/>
  <c r="K369" i="17"/>
  <c r="P364" i="17"/>
  <c r="P338" i="17"/>
  <c r="N335" i="17"/>
  <c r="N333" i="17" s="1"/>
  <c r="K330" i="17"/>
  <c r="O325" i="17"/>
  <c r="K314" i="17"/>
  <c r="M305" i="17"/>
  <c r="M303" i="17" s="1"/>
  <c r="O290" i="17"/>
  <c r="O274" i="17"/>
  <c r="I238" i="17"/>
  <c r="K238" i="17" s="1"/>
  <c r="N232" i="17"/>
  <c r="M188" i="17"/>
  <c r="M186" i="17" s="1"/>
  <c r="L159" i="17"/>
  <c r="L157" i="17" s="1"/>
  <c r="O144" i="17"/>
  <c r="N127" i="17"/>
  <c r="N125" i="17" s="1"/>
  <c r="L96" i="17"/>
  <c r="O96" i="17" s="1"/>
  <c r="L74" i="17"/>
  <c r="L46" i="17"/>
  <c r="L44" i="17" s="1"/>
  <c r="M326" i="17"/>
  <c r="P326" i="17" s="1"/>
  <c r="P80" i="16"/>
  <c r="M379" i="17"/>
  <c r="M377" i="17" s="1"/>
  <c r="P377" i="17" s="1"/>
  <c r="M380" i="17"/>
  <c r="P380" i="17" s="1"/>
  <c r="L362" i="17"/>
  <c r="O362" i="17" s="1"/>
  <c r="M335" i="17"/>
  <c r="M333" i="17" s="1"/>
  <c r="M322" i="17"/>
  <c r="P322" i="17" s="1"/>
  <c r="O306" i="17"/>
  <c r="L236" i="17"/>
  <c r="K198" i="17"/>
  <c r="O189" i="17"/>
  <c r="N175" i="17"/>
  <c r="N173" i="17" s="1"/>
  <c r="N141" i="17"/>
  <c r="N139" i="17" s="1"/>
  <c r="M141" i="17"/>
  <c r="M139" i="17" s="1"/>
  <c r="P139" i="17" s="1"/>
  <c r="K109" i="17"/>
  <c r="L65" i="17"/>
  <c r="O65" i="17" s="1"/>
  <c r="L179" i="16"/>
  <c r="O179" i="16" s="1"/>
  <c r="K368" i="17"/>
  <c r="P361" i="17"/>
  <c r="N359" i="17"/>
  <c r="P359" i="17" s="1"/>
  <c r="P336" i="17"/>
  <c r="L322" i="17"/>
  <c r="O322" i="17" s="1"/>
  <c r="P267" i="17"/>
  <c r="L235" i="17"/>
  <c r="P194" i="17"/>
  <c r="O99" i="17"/>
  <c r="O80" i="17"/>
  <c r="P64" i="17"/>
  <c r="O52" i="17"/>
  <c r="L359" i="17"/>
  <c r="O338" i="17"/>
  <c r="N284" i="17"/>
  <c r="N282" i="17" s="1"/>
  <c r="M268" i="17"/>
  <c r="P268" i="17" s="1"/>
  <c r="L175" i="17"/>
  <c r="L173" i="17" s="1"/>
  <c r="M160" i="17"/>
  <c r="P160" i="17" s="1"/>
  <c r="M19" i="17"/>
  <c r="P19" i="17" s="1"/>
  <c r="P382" i="17"/>
  <c r="P308" i="17"/>
  <c r="P306" i="17"/>
  <c r="M284" i="17"/>
  <c r="P284" i="17" s="1"/>
  <c r="I280" i="17"/>
  <c r="K280" i="17" s="1"/>
  <c r="L268" i="17"/>
  <c r="L266" i="17" s="1"/>
  <c r="O266" i="17" s="1"/>
  <c r="L254" i="17"/>
  <c r="O254" i="17" s="1"/>
  <c r="P189" i="17"/>
  <c r="N159" i="17"/>
  <c r="N157" i="17" s="1"/>
  <c r="I136" i="17"/>
  <c r="K136" i="17" s="1"/>
  <c r="M96" i="17"/>
  <c r="M97" i="17"/>
  <c r="P97" i="17" s="1"/>
  <c r="M61" i="17"/>
  <c r="M59" i="17" s="1"/>
  <c r="N19" i="17"/>
  <c r="L268" i="16"/>
  <c r="L266" i="16" s="1"/>
  <c r="O266" i="16" s="1"/>
  <c r="N323" i="17"/>
  <c r="I281" i="17"/>
  <c r="K281" i="17" s="1"/>
  <c r="L269" i="17"/>
  <c r="O269" i="17" s="1"/>
  <c r="L243" i="17"/>
  <c r="L233" i="17"/>
  <c r="M179" i="17"/>
  <c r="P179" i="17" s="1"/>
  <c r="L176" i="17"/>
  <c r="O176" i="17" s="1"/>
  <c r="M163" i="17"/>
  <c r="P163" i="17" s="1"/>
  <c r="L160" i="17"/>
  <c r="O160" i="17" s="1"/>
  <c r="O64" i="17"/>
  <c r="L23" i="17"/>
  <c r="L21" i="17" s="1"/>
  <c r="M47" i="17"/>
  <c r="P49" i="17"/>
  <c r="N47" i="17"/>
  <c r="O47" i="17" s="1"/>
  <c r="L309" i="17"/>
  <c r="O309" i="17" s="1"/>
  <c r="M26" i="17"/>
  <c r="K154" i="16"/>
  <c r="P142" i="16"/>
  <c r="O361" i="17"/>
  <c r="L335" i="17"/>
  <c r="M323" i="17"/>
  <c r="P323" i="17" s="1"/>
  <c r="O308" i="17"/>
  <c r="N305" i="17"/>
  <c r="L284" i="17"/>
  <c r="O284" i="17" s="1"/>
  <c r="K229" i="17"/>
  <c r="K183" i="17"/>
  <c r="L179" i="17"/>
  <c r="O179" i="17" s="1"/>
  <c r="K167" i="17"/>
  <c r="L163" i="17"/>
  <c r="O163" i="17" s="1"/>
  <c r="K152" i="17"/>
  <c r="O147" i="17"/>
  <c r="L141" i="17"/>
  <c r="O141" i="17" s="1"/>
  <c r="P133" i="17"/>
  <c r="O130" i="17"/>
  <c r="M127" i="17"/>
  <c r="O102" i="17"/>
  <c r="L94" i="17"/>
  <c r="O94" i="17" s="1"/>
  <c r="I82" i="17"/>
  <c r="N61" i="17"/>
  <c r="N59" i="17" s="1"/>
  <c r="N26" i="17"/>
  <c r="N24" i="17" s="1"/>
  <c r="K371" i="17"/>
  <c r="P334" i="17"/>
  <c r="L320" i="17"/>
  <c r="O320" i="17" s="1"/>
  <c r="O311" i="17"/>
  <c r="O178" i="17"/>
  <c r="O162" i="17"/>
  <c r="O133" i="17"/>
  <c r="L127" i="17"/>
  <c r="O127" i="17" s="1"/>
  <c r="M75" i="17"/>
  <c r="P77" i="17"/>
  <c r="L61" i="17"/>
  <c r="M50" i="17"/>
  <c r="P50" i="17" s="1"/>
  <c r="P52" i="17"/>
  <c r="N23" i="17"/>
  <c r="L272" i="16"/>
  <c r="O272" i="16" s="1"/>
  <c r="O99" i="16"/>
  <c r="L379" i="17"/>
  <c r="O379" i="17" s="1"/>
  <c r="M358" i="17"/>
  <c r="L336" i="17"/>
  <c r="O336" i="17" s="1"/>
  <c r="O334" i="17"/>
  <c r="M288" i="17"/>
  <c r="P288" i="17" s="1"/>
  <c r="O271" i="17"/>
  <c r="N268" i="17"/>
  <c r="N266" i="17" s="1"/>
  <c r="K195" i="17"/>
  <c r="P191" i="17"/>
  <c r="M175" i="17"/>
  <c r="M159" i="17"/>
  <c r="I156" i="17"/>
  <c r="K156" i="17" s="1"/>
  <c r="O140" i="17"/>
  <c r="P60" i="17"/>
  <c r="L26" i="17"/>
  <c r="O26" i="17" s="1"/>
  <c r="N46" i="17"/>
  <c r="M23" i="17"/>
  <c r="M21" i="17" s="1"/>
  <c r="K249" i="15"/>
  <c r="N322" i="16"/>
  <c r="N320" i="16" s="1"/>
  <c r="O191" i="17"/>
  <c r="N188" i="17"/>
  <c r="P178" i="17"/>
  <c r="N96" i="17"/>
  <c r="N94" i="17" s="1"/>
  <c r="I83" i="17"/>
  <c r="M78" i="17"/>
  <c r="P78" i="17" s="1"/>
  <c r="P80" i="17"/>
  <c r="P62" i="17"/>
  <c r="M46" i="17"/>
  <c r="L19" i="17"/>
  <c r="P22" i="17"/>
  <c r="L383" i="16"/>
  <c r="O383" i="16" s="1"/>
  <c r="M305" i="16"/>
  <c r="P305" i="16" s="1"/>
  <c r="L305" i="16"/>
  <c r="O305" i="16" s="1"/>
  <c r="L175" i="16"/>
  <c r="L173" i="16" s="1"/>
  <c r="M74" i="16"/>
  <c r="P74" i="16" s="1"/>
  <c r="M284" i="16"/>
  <c r="P284" i="16" s="1"/>
  <c r="K209" i="15"/>
  <c r="P364" i="16"/>
  <c r="K183" i="16"/>
  <c r="K371" i="16"/>
  <c r="P328" i="16"/>
  <c r="P165" i="16"/>
  <c r="P147" i="16"/>
  <c r="P144" i="16"/>
  <c r="P130" i="16"/>
  <c r="P338" i="15"/>
  <c r="K368" i="16"/>
  <c r="N268" i="16"/>
  <c r="N266" i="16" s="1"/>
  <c r="O271" i="16"/>
  <c r="K108" i="16"/>
  <c r="M46" i="16"/>
  <c r="K368" i="15"/>
  <c r="J351" i="15"/>
  <c r="K346" i="15"/>
  <c r="N188" i="16"/>
  <c r="N186" i="16" s="1"/>
  <c r="L159" i="16"/>
  <c r="L157" i="16" s="1"/>
  <c r="O382" i="16"/>
  <c r="P338" i="16"/>
  <c r="K292" i="16"/>
  <c r="M188" i="16"/>
  <c r="P181" i="16"/>
  <c r="O144" i="16"/>
  <c r="O311" i="16"/>
  <c r="L306" i="16"/>
  <c r="O306" i="16" s="1"/>
  <c r="I137" i="16"/>
  <c r="K137" i="16" s="1"/>
  <c r="N96" i="16"/>
  <c r="N94" i="16" s="1"/>
  <c r="N305" i="16"/>
  <c r="N303" i="16" s="1"/>
  <c r="P290" i="16"/>
  <c r="L288" i="16"/>
  <c r="O288" i="16" s="1"/>
  <c r="L285" i="16"/>
  <c r="O285" i="16" s="1"/>
  <c r="L234" i="16"/>
  <c r="P162" i="16"/>
  <c r="I83" i="16"/>
  <c r="I71" i="16" s="1"/>
  <c r="K71" i="16" s="1"/>
  <c r="L78" i="16"/>
  <c r="O78" i="16" s="1"/>
  <c r="L75" i="16"/>
  <c r="O75" i="16" s="1"/>
  <c r="K369" i="16"/>
  <c r="K293" i="16"/>
  <c r="L284" i="16"/>
  <c r="O284" i="16" s="1"/>
  <c r="K220" i="16"/>
  <c r="L160" i="16"/>
  <c r="O160" i="16" s="1"/>
  <c r="O142" i="16"/>
  <c r="P133" i="16"/>
  <c r="L74" i="16"/>
  <c r="O74" i="16" s="1"/>
  <c r="L379" i="16"/>
  <c r="O379" i="16" s="1"/>
  <c r="M335" i="16"/>
  <c r="M333" i="16" s="1"/>
  <c r="L269" i="16"/>
  <c r="O269" i="16" s="1"/>
  <c r="L233" i="16"/>
  <c r="L203" i="16"/>
  <c r="O203" i="16" s="1"/>
  <c r="O191" i="16"/>
  <c r="L176" i="16"/>
  <c r="O176" i="16" s="1"/>
  <c r="L163" i="16"/>
  <c r="O163" i="16" s="1"/>
  <c r="I82" i="16"/>
  <c r="K82" i="16" s="1"/>
  <c r="M44" i="16"/>
  <c r="O165" i="15"/>
  <c r="O162" i="15"/>
  <c r="K108" i="15"/>
  <c r="O361" i="16"/>
  <c r="J343" i="16"/>
  <c r="P341" i="16"/>
  <c r="O325" i="16"/>
  <c r="N323" i="16"/>
  <c r="O308" i="16"/>
  <c r="N306" i="16"/>
  <c r="L254" i="16"/>
  <c r="O254" i="16" s="1"/>
  <c r="K249" i="16"/>
  <c r="K209" i="16"/>
  <c r="O189" i="16"/>
  <c r="M175" i="16"/>
  <c r="M173" i="16" s="1"/>
  <c r="K153" i="16"/>
  <c r="M141" i="16"/>
  <c r="M139" i="16" s="1"/>
  <c r="N141" i="16"/>
  <c r="N139" i="16" s="1"/>
  <c r="M127" i="16"/>
  <c r="P127" i="16" s="1"/>
  <c r="N127" i="16"/>
  <c r="N125" i="16" s="1"/>
  <c r="L61" i="16"/>
  <c r="L59" i="16" s="1"/>
  <c r="O62" i="16"/>
  <c r="O271" i="15"/>
  <c r="N358" i="16"/>
  <c r="N356" i="16" s="1"/>
  <c r="O341" i="16"/>
  <c r="O67" i="16"/>
  <c r="O25" i="16"/>
  <c r="M96" i="16"/>
  <c r="P96" i="16" s="1"/>
  <c r="L78" i="15"/>
  <c r="O78" i="15" s="1"/>
  <c r="M358" i="16"/>
  <c r="J351" i="16"/>
  <c r="K346" i="16"/>
  <c r="K330" i="16"/>
  <c r="L322" i="16"/>
  <c r="O322" i="16" s="1"/>
  <c r="M322" i="16"/>
  <c r="P322" i="16" s="1"/>
  <c r="P287" i="16"/>
  <c r="M285" i="16"/>
  <c r="P285" i="16" s="1"/>
  <c r="L236" i="16"/>
  <c r="L188" i="16"/>
  <c r="K172" i="16"/>
  <c r="M159" i="16"/>
  <c r="P159" i="16" s="1"/>
  <c r="P77" i="16"/>
  <c r="M75" i="16"/>
  <c r="P75" i="16" s="1"/>
  <c r="N61" i="16"/>
  <c r="N59" i="16" s="1"/>
  <c r="P52" i="16"/>
  <c r="M47" i="16"/>
  <c r="N379" i="16"/>
  <c r="N377" i="16" s="1"/>
  <c r="K365" i="16"/>
  <c r="O338" i="16"/>
  <c r="I302" i="16"/>
  <c r="K302" i="16" s="1"/>
  <c r="L235" i="16"/>
  <c r="N97" i="16"/>
  <c r="K85" i="16"/>
  <c r="O64" i="16"/>
  <c r="P49" i="16"/>
  <c r="O19" i="16"/>
  <c r="P271" i="16"/>
  <c r="M269" i="16"/>
  <c r="P269" i="16" s="1"/>
  <c r="P176" i="16"/>
  <c r="L23" i="16"/>
  <c r="L21" i="16" s="1"/>
  <c r="O49" i="16"/>
  <c r="L26" i="16"/>
  <c r="O26" i="16" s="1"/>
  <c r="K369" i="15"/>
  <c r="N380" i="16"/>
  <c r="M379" i="16"/>
  <c r="P379" i="16" s="1"/>
  <c r="N335" i="16"/>
  <c r="M323" i="16"/>
  <c r="P323" i="16" s="1"/>
  <c r="I238" i="16"/>
  <c r="K238" i="16" s="1"/>
  <c r="I168" i="16"/>
  <c r="K168" i="16" s="1"/>
  <c r="I169" i="16"/>
  <c r="K169" i="16" s="1"/>
  <c r="L141" i="16"/>
  <c r="L96" i="16"/>
  <c r="O96" i="16" s="1"/>
  <c r="N46" i="16"/>
  <c r="I238" i="15"/>
  <c r="K238" i="15" s="1"/>
  <c r="O176" i="15"/>
  <c r="O102" i="15"/>
  <c r="O99" i="15"/>
  <c r="M383" i="16"/>
  <c r="P383" i="16" s="1"/>
  <c r="M380" i="16"/>
  <c r="P380" i="16" s="1"/>
  <c r="N359" i="16"/>
  <c r="P359" i="16" s="1"/>
  <c r="J332" i="16"/>
  <c r="K332" i="16" s="1"/>
  <c r="N336" i="16"/>
  <c r="P336" i="16" s="1"/>
  <c r="P274" i="16"/>
  <c r="M272" i="16"/>
  <c r="P272" i="16" s="1"/>
  <c r="N272" i="16"/>
  <c r="I195" i="16"/>
  <c r="K195" i="16" s="1"/>
  <c r="O178" i="16"/>
  <c r="O162" i="16"/>
  <c r="O130" i="16"/>
  <c r="L127" i="16"/>
  <c r="P67" i="16"/>
  <c r="M65" i="16"/>
  <c r="P65" i="16" s="1"/>
  <c r="N65" i="16"/>
  <c r="L50" i="16"/>
  <c r="O50" i="16" s="1"/>
  <c r="L46" i="16"/>
  <c r="L100" i="16"/>
  <c r="O100" i="16" s="1"/>
  <c r="P64" i="16"/>
  <c r="M62" i="16"/>
  <c r="P62" i="16" s="1"/>
  <c r="P378" i="16"/>
  <c r="L358" i="16"/>
  <c r="L335" i="16"/>
  <c r="L326" i="16"/>
  <c r="O326" i="16" s="1"/>
  <c r="O321" i="16"/>
  <c r="P308" i="16"/>
  <c r="M306" i="16"/>
  <c r="P306" i="16" s="1"/>
  <c r="N284" i="16"/>
  <c r="N282" i="16" s="1"/>
  <c r="L243" i="16"/>
  <c r="P191" i="16"/>
  <c r="M189" i="16"/>
  <c r="P189" i="16" s="1"/>
  <c r="N175" i="16"/>
  <c r="N173" i="16" s="1"/>
  <c r="N159" i="16"/>
  <c r="N157" i="16" s="1"/>
  <c r="I156" i="16"/>
  <c r="K156" i="16" s="1"/>
  <c r="O147" i="16"/>
  <c r="M97" i="16"/>
  <c r="P97" i="16" s="1"/>
  <c r="N74" i="16"/>
  <c r="N72" i="16" s="1"/>
  <c r="P45" i="16"/>
  <c r="P19" i="16"/>
  <c r="M23" i="16"/>
  <c r="P334" i="16"/>
  <c r="P325" i="16"/>
  <c r="M268" i="16"/>
  <c r="P268" i="16" s="1"/>
  <c r="I253" i="16"/>
  <c r="K253" i="16" s="1"/>
  <c r="K242" i="16"/>
  <c r="O133" i="16"/>
  <c r="M61" i="16"/>
  <c r="N47" i="16"/>
  <c r="N23" i="16"/>
  <c r="N26" i="16"/>
  <c r="N24" i="16" s="1"/>
  <c r="L234" i="15"/>
  <c r="P311" i="16"/>
  <c r="M309" i="16"/>
  <c r="P309" i="16" s="1"/>
  <c r="L222" i="16"/>
  <c r="O222" i="16" s="1"/>
  <c r="I221" i="16"/>
  <c r="K221" i="16" s="1"/>
  <c r="L214" i="16"/>
  <c r="O214" i="16" s="1"/>
  <c r="P194" i="16"/>
  <c r="M192" i="16"/>
  <c r="P192" i="16" s="1"/>
  <c r="P178" i="16"/>
  <c r="M100" i="16"/>
  <c r="P100" i="16" s="1"/>
  <c r="O95" i="16"/>
  <c r="I93" i="16"/>
  <c r="K93" i="16" s="1"/>
  <c r="L47" i="16"/>
  <c r="M26" i="16"/>
  <c r="P26" i="16" s="1"/>
  <c r="P25" i="16"/>
  <c r="O382" i="15"/>
  <c r="N358" i="15"/>
  <c r="N356" i="15" s="1"/>
  <c r="P47" i="15"/>
  <c r="O325" i="15"/>
  <c r="O130" i="15"/>
  <c r="L335" i="15"/>
  <c r="L333" i="15" s="1"/>
  <c r="K314" i="15"/>
  <c r="O77" i="15"/>
  <c r="K365" i="15"/>
  <c r="P325" i="15"/>
  <c r="M188" i="15"/>
  <c r="M186" i="15" s="1"/>
  <c r="N141" i="15"/>
  <c r="N139" i="15" s="1"/>
  <c r="K252" i="15"/>
  <c r="L214" i="15"/>
  <c r="O214" i="15" s="1"/>
  <c r="M175" i="15"/>
  <c r="M173" i="15" s="1"/>
  <c r="M127" i="15"/>
  <c r="P127" i="15" s="1"/>
  <c r="K292" i="15"/>
  <c r="L222" i="15"/>
  <c r="O222" i="15" s="1"/>
  <c r="K220" i="15"/>
  <c r="P102" i="15"/>
  <c r="M322" i="14"/>
  <c r="P322" i="14" s="1"/>
  <c r="M358" i="15"/>
  <c r="M356" i="15" s="1"/>
  <c r="O341" i="15"/>
  <c r="N305" i="15"/>
  <c r="N303" i="15" s="1"/>
  <c r="O290" i="15"/>
  <c r="M288" i="15"/>
  <c r="P288" i="15" s="1"/>
  <c r="P194" i="15"/>
  <c r="L179" i="15"/>
  <c r="O179" i="15" s="1"/>
  <c r="M159" i="15"/>
  <c r="P159" i="15" s="1"/>
  <c r="N96" i="15"/>
  <c r="N94" i="15" s="1"/>
  <c r="O178" i="15"/>
  <c r="L141" i="15"/>
  <c r="O141" i="15" s="1"/>
  <c r="M96" i="15"/>
  <c r="M94" i="15" s="1"/>
  <c r="P94" i="15" s="1"/>
  <c r="M74" i="15"/>
  <c r="P74" i="15" s="1"/>
  <c r="N61" i="15"/>
  <c r="N59" i="15" s="1"/>
  <c r="O64" i="15"/>
  <c r="L46" i="15"/>
  <c r="L44" i="15" s="1"/>
  <c r="L234" i="14"/>
  <c r="O364" i="15"/>
  <c r="J343" i="15"/>
  <c r="M339" i="15"/>
  <c r="P339" i="15" s="1"/>
  <c r="K302" i="15"/>
  <c r="O287" i="15"/>
  <c r="I240" i="15"/>
  <c r="K240" i="15" s="1"/>
  <c r="O191" i="15"/>
  <c r="L175" i="15"/>
  <c r="L173" i="15" s="1"/>
  <c r="N175" i="15"/>
  <c r="N173" i="15" s="1"/>
  <c r="I172" i="15"/>
  <c r="K172" i="15" s="1"/>
  <c r="L159" i="15"/>
  <c r="L157" i="15" s="1"/>
  <c r="O157" i="15" s="1"/>
  <c r="P158" i="15"/>
  <c r="N127" i="15"/>
  <c r="N125" i="15" s="1"/>
  <c r="L74" i="15"/>
  <c r="L72" i="15" s="1"/>
  <c r="O72" i="15" s="1"/>
  <c r="N74" i="15"/>
  <c r="N72" i="15" s="1"/>
  <c r="P67" i="15"/>
  <c r="O52" i="15"/>
  <c r="O77" i="13"/>
  <c r="K330" i="14"/>
  <c r="O385" i="15"/>
  <c r="M362" i="15"/>
  <c r="P362" i="15" s="1"/>
  <c r="O338" i="15"/>
  <c r="M336" i="15"/>
  <c r="P336" i="15" s="1"/>
  <c r="P328" i="15"/>
  <c r="O311" i="15"/>
  <c r="N284" i="15"/>
  <c r="N282" i="15" s="1"/>
  <c r="L243" i="15"/>
  <c r="O243" i="15" s="1"/>
  <c r="L203" i="15"/>
  <c r="O203" i="15" s="1"/>
  <c r="M179" i="15"/>
  <c r="P179" i="15" s="1"/>
  <c r="M163" i="15"/>
  <c r="P163" i="15" s="1"/>
  <c r="K153" i="15"/>
  <c r="O144" i="15"/>
  <c r="N142" i="15"/>
  <c r="M78" i="15"/>
  <c r="P78" i="15" s="1"/>
  <c r="M50" i="15"/>
  <c r="P50" i="15" s="1"/>
  <c r="O325" i="14"/>
  <c r="L46" i="14"/>
  <c r="L44" i="14" s="1"/>
  <c r="M383" i="15"/>
  <c r="P383" i="15" s="1"/>
  <c r="N335" i="15"/>
  <c r="N333" i="15" s="1"/>
  <c r="O328" i="15"/>
  <c r="L322" i="15"/>
  <c r="O322" i="15" s="1"/>
  <c r="O308" i="15"/>
  <c r="N306" i="15"/>
  <c r="P306" i="15" s="1"/>
  <c r="O274" i="15"/>
  <c r="L235" i="15"/>
  <c r="P99" i="15"/>
  <c r="M61" i="15"/>
  <c r="N335" i="13"/>
  <c r="N333" i="13" s="1"/>
  <c r="L192" i="15"/>
  <c r="O192" i="15" s="1"/>
  <c r="M189" i="15"/>
  <c r="L47" i="15"/>
  <c r="O47" i="15" s="1"/>
  <c r="M19" i="15"/>
  <c r="L236" i="14"/>
  <c r="O160" i="14"/>
  <c r="L74" i="14"/>
  <c r="L72" i="14" s="1"/>
  <c r="O72" i="14" s="1"/>
  <c r="M380" i="15"/>
  <c r="P380" i="15" s="1"/>
  <c r="O361" i="15"/>
  <c r="O336" i="15"/>
  <c r="N268" i="15"/>
  <c r="N266" i="15" s="1"/>
  <c r="L233" i="15"/>
  <c r="M176" i="15"/>
  <c r="P176" i="15" s="1"/>
  <c r="M160" i="15"/>
  <c r="P160" i="15" s="1"/>
  <c r="M97" i="15"/>
  <c r="P97" i="15" s="1"/>
  <c r="M75" i="15"/>
  <c r="P75" i="15" s="1"/>
  <c r="M46" i="15"/>
  <c r="M44" i="15" s="1"/>
  <c r="I136" i="15"/>
  <c r="K136" i="15" s="1"/>
  <c r="K154" i="15"/>
  <c r="K346" i="14"/>
  <c r="N379" i="15"/>
  <c r="N377" i="15" s="1"/>
  <c r="P361" i="15"/>
  <c r="N359" i="15"/>
  <c r="O359" i="15" s="1"/>
  <c r="L358" i="15"/>
  <c r="J332" i="15"/>
  <c r="K332" i="15" s="1"/>
  <c r="N322" i="15"/>
  <c r="N320" i="15" s="1"/>
  <c r="I319" i="15"/>
  <c r="K319" i="15" s="1"/>
  <c r="P308" i="15"/>
  <c r="M305" i="15"/>
  <c r="P287" i="15"/>
  <c r="M284" i="15"/>
  <c r="P271" i="15"/>
  <c r="M268" i="15"/>
  <c r="L254" i="15"/>
  <c r="O254" i="15" s="1"/>
  <c r="O147" i="15"/>
  <c r="O140" i="15"/>
  <c r="N26" i="15"/>
  <c r="N24" i="15" s="1"/>
  <c r="P19" i="15"/>
  <c r="M309" i="15"/>
  <c r="P309" i="15" s="1"/>
  <c r="O67" i="15"/>
  <c r="L65" i="15"/>
  <c r="O65" i="15" s="1"/>
  <c r="M379" i="15"/>
  <c r="K371" i="15"/>
  <c r="M359" i="15"/>
  <c r="P357" i="15"/>
  <c r="K344" i="15"/>
  <c r="M322" i="15"/>
  <c r="P322" i="15" s="1"/>
  <c r="L305" i="15"/>
  <c r="L284" i="15"/>
  <c r="O284" i="15" s="1"/>
  <c r="L268" i="15"/>
  <c r="O268" i="15" s="1"/>
  <c r="K242" i="15"/>
  <c r="P191" i="15"/>
  <c r="N189" i="15"/>
  <c r="O189" i="15" s="1"/>
  <c r="N159" i="15"/>
  <c r="N157" i="15" s="1"/>
  <c r="M141" i="15"/>
  <c r="P130" i="15"/>
  <c r="M23" i="15"/>
  <c r="M21" i="15" s="1"/>
  <c r="M128" i="15"/>
  <c r="P128" i="15" s="1"/>
  <c r="I82" i="15"/>
  <c r="M142" i="15"/>
  <c r="P142" i="15" s="1"/>
  <c r="L379" i="15"/>
  <c r="L339" i="15"/>
  <c r="O339" i="15" s="1"/>
  <c r="P274" i="15"/>
  <c r="O267" i="15"/>
  <c r="I253" i="15"/>
  <c r="K253" i="15" s="1"/>
  <c r="K260" i="15"/>
  <c r="I221" i="15"/>
  <c r="K221" i="15" s="1"/>
  <c r="K229" i="15"/>
  <c r="K152" i="15"/>
  <c r="I137" i="15"/>
  <c r="K137" i="15" s="1"/>
  <c r="M145" i="15"/>
  <c r="P145" i="15" s="1"/>
  <c r="O133" i="15"/>
  <c r="O126" i="15"/>
  <c r="L96" i="15"/>
  <c r="O96" i="15" s="1"/>
  <c r="P60" i="15"/>
  <c r="L26" i="15"/>
  <c r="O26" i="15" s="1"/>
  <c r="O25" i="15"/>
  <c r="I172" i="14"/>
  <c r="K172" i="14" s="1"/>
  <c r="O52" i="14"/>
  <c r="K293" i="15"/>
  <c r="K241" i="15"/>
  <c r="L236" i="15"/>
  <c r="I195" i="15"/>
  <c r="K195" i="15" s="1"/>
  <c r="N188" i="15"/>
  <c r="N186" i="15" s="1"/>
  <c r="I83" i="15"/>
  <c r="P181" i="14"/>
  <c r="P334" i="15"/>
  <c r="L188" i="15"/>
  <c r="I156" i="15"/>
  <c r="K156" i="15" s="1"/>
  <c r="M131" i="15"/>
  <c r="P131" i="15" s="1"/>
  <c r="L127" i="15"/>
  <c r="O127" i="15" s="1"/>
  <c r="P64" i="15"/>
  <c r="N62" i="15"/>
  <c r="P62" i="15" s="1"/>
  <c r="M26" i="15"/>
  <c r="P26" i="15" s="1"/>
  <c r="L19" i="15"/>
  <c r="M335" i="15"/>
  <c r="P178" i="15"/>
  <c r="P162" i="15"/>
  <c r="I93" i="15"/>
  <c r="K93" i="15" s="1"/>
  <c r="P77" i="15"/>
  <c r="P49" i="15"/>
  <c r="L61" i="15"/>
  <c r="O49" i="15"/>
  <c r="N23" i="15"/>
  <c r="L62" i="15"/>
  <c r="N46" i="15"/>
  <c r="N44" i="15" s="1"/>
  <c r="N50" i="15"/>
  <c r="L23" i="15"/>
  <c r="L21" i="15" s="1"/>
  <c r="P22" i="15"/>
  <c r="L192" i="14"/>
  <c r="O192" i="14" s="1"/>
  <c r="O181" i="14"/>
  <c r="N175" i="14"/>
  <c r="L78" i="14"/>
  <c r="O78" i="14" s="1"/>
  <c r="K371" i="14"/>
  <c r="O311" i="14"/>
  <c r="P77" i="14"/>
  <c r="O133" i="13"/>
  <c r="O341" i="14"/>
  <c r="O338" i="14"/>
  <c r="P290" i="14"/>
  <c r="M272" i="14"/>
  <c r="P272" i="14" s="1"/>
  <c r="I253" i="14"/>
  <c r="K253" i="14" s="1"/>
  <c r="I242" i="14"/>
  <c r="K242" i="14" s="1"/>
  <c r="I238" i="14"/>
  <c r="K238" i="14" s="1"/>
  <c r="L175" i="14"/>
  <c r="L173" i="14" s="1"/>
  <c r="P165" i="14"/>
  <c r="P162" i="14"/>
  <c r="O144" i="14"/>
  <c r="O133" i="14"/>
  <c r="M97" i="14"/>
  <c r="P97" i="14" s="1"/>
  <c r="P99" i="14"/>
  <c r="M78" i="14"/>
  <c r="P78" i="14" s="1"/>
  <c r="P80" i="14"/>
  <c r="K293" i="13"/>
  <c r="L272" i="14"/>
  <c r="O272" i="14" s="1"/>
  <c r="M269" i="14"/>
  <c r="P269" i="14" s="1"/>
  <c r="O162" i="14"/>
  <c r="P102" i="14"/>
  <c r="M100" i="14"/>
  <c r="P100" i="14" s="1"/>
  <c r="K346" i="13"/>
  <c r="O364" i="14"/>
  <c r="K209" i="14"/>
  <c r="K153" i="14"/>
  <c r="M379" i="14"/>
  <c r="M377" i="14" s="1"/>
  <c r="P377" i="14" s="1"/>
  <c r="N358" i="14"/>
  <c r="N356" i="14" s="1"/>
  <c r="K344" i="14"/>
  <c r="L222" i="14"/>
  <c r="O222" i="14" s="1"/>
  <c r="K220" i="14"/>
  <c r="L96" i="14"/>
  <c r="O96" i="14" s="1"/>
  <c r="M127" i="14"/>
  <c r="P127" i="14" s="1"/>
  <c r="K369" i="14"/>
  <c r="O361" i="14"/>
  <c r="N359" i="14"/>
  <c r="O359" i="14" s="1"/>
  <c r="J351" i="14"/>
  <c r="N335" i="14"/>
  <c r="N333" i="14" s="1"/>
  <c r="N322" i="14"/>
  <c r="N320" i="14" s="1"/>
  <c r="M309" i="14"/>
  <c r="P309" i="14" s="1"/>
  <c r="M284" i="14"/>
  <c r="P284" i="14" s="1"/>
  <c r="M175" i="14"/>
  <c r="M173" i="14" s="1"/>
  <c r="K138" i="14"/>
  <c r="N141" i="14"/>
  <c r="N139" i="14" s="1"/>
  <c r="M74" i="14"/>
  <c r="M72" i="14" s="1"/>
  <c r="P72" i="14" s="1"/>
  <c r="L75" i="14"/>
  <c r="O75" i="14" s="1"/>
  <c r="M65" i="14"/>
  <c r="P65" i="14" s="1"/>
  <c r="M50" i="14"/>
  <c r="P50" i="14" s="1"/>
  <c r="L163" i="14"/>
  <c r="O163" i="14" s="1"/>
  <c r="P338" i="14"/>
  <c r="M306" i="14"/>
  <c r="P306" i="14" s="1"/>
  <c r="I280" i="14"/>
  <c r="K280" i="14" s="1"/>
  <c r="L214" i="14"/>
  <c r="O214" i="14" s="1"/>
  <c r="O191" i="14"/>
  <c r="N188" i="14"/>
  <c r="N186" i="14" s="1"/>
  <c r="K368" i="14"/>
  <c r="M358" i="14"/>
  <c r="M356" i="14" s="1"/>
  <c r="O290" i="14"/>
  <c r="O130" i="14"/>
  <c r="O49" i="14"/>
  <c r="L236" i="13"/>
  <c r="M383" i="14"/>
  <c r="P383" i="14" s="1"/>
  <c r="M380" i="14"/>
  <c r="P380" i="14" s="1"/>
  <c r="J343" i="14"/>
  <c r="P328" i="14"/>
  <c r="L305" i="14"/>
  <c r="L303" i="14" s="1"/>
  <c r="O303" i="14" s="1"/>
  <c r="P287" i="14"/>
  <c r="N268" i="14"/>
  <c r="N266" i="14" s="1"/>
  <c r="L203" i="14"/>
  <c r="O203" i="14" s="1"/>
  <c r="M192" i="14"/>
  <c r="P192" i="14" s="1"/>
  <c r="M159" i="14"/>
  <c r="P159" i="14" s="1"/>
  <c r="I156" i="14"/>
  <c r="K156" i="14" s="1"/>
  <c r="N127" i="14"/>
  <c r="N125" i="14" s="1"/>
  <c r="N96" i="14"/>
  <c r="N94" i="14" s="1"/>
  <c r="O64" i="14"/>
  <c r="P47" i="14"/>
  <c r="L47" i="14"/>
  <c r="O47" i="14" s="1"/>
  <c r="M19" i="14"/>
  <c r="L284" i="14"/>
  <c r="K229" i="13"/>
  <c r="L335" i="14"/>
  <c r="L333" i="14" s="1"/>
  <c r="P325" i="14"/>
  <c r="K314" i="14"/>
  <c r="O287" i="14"/>
  <c r="L233" i="14"/>
  <c r="O178" i="14"/>
  <c r="L159" i="14"/>
  <c r="L157" i="14" s="1"/>
  <c r="K108" i="14"/>
  <c r="M96" i="14"/>
  <c r="M94" i="14" s="1"/>
  <c r="P94" i="14" s="1"/>
  <c r="I82" i="14"/>
  <c r="K82" i="14" s="1"/>
  <c r="O77" i="14"/>
  <c r="M46" i="14"/>
  <c r="M44" i="14" s="1"/>
  <c r="O328" i="13"/>
  <c r="O290" i="13"/>
  <c r="L383" i="14"/>
  <c r="O383" i="14" s="1"/>
  <c r="L380" i="14"/>
  <c r="O380" i="14" s="1"/>
  <c r="J365" i="14"/>
  <c r="K365" i="14" s="1"/>
  <c r="M362" i="14"/>
  <c r="P362" i="14" s="1"/>
  <c r="M359" i="14"/>
  <c r="L358" i="14"/>
  <c r="N336" i="14"/>
  <c r="O336" i="14" s="1"/>
  <c r="O334" i="14"/>
  <c r="O328" i="14"/>
  <c r="L243" i="14"/>
  <c r="P189" i="14"/>
  <c r="I136" i="14"/>
  <c r="K136" i="14" s="1"/>
  <c r="K154" i="14"/>
  <c r="P144" i="14"/>
  <c r="M142" i="14"/>
  <c r="P142" i="14" s="1"/>
  <c r="O102" i="14"/>
  <c r="L100" i="14"/>
  <c r="O100" i="14" s="1"/>
  <c r="P19" i="14"/>
  <c r="L306" i="14"/>
  <c r="O306" i="14" s="1"/>
  <c r="P382" i="14"/>
  <c r="P341" i="14"/>
  <c r="N305" i="14"/>
  <c r="N303" i="14" s="1"/>
  <c r="K292" i="14"/>
  <c r="L269" i="14"/>
  <c r="O269" i="14" s="1"/>
  <c r="L235" i="14"/>
  <c r="P191" i="14"/>
  <c r="L189" i="14"/>
  <c r="O189" i="14" s="1"/>
  <c r="O147" i="14"/>
  <c r="O142" i="14"/>
  <c r="M141" i="14"/>
  <c r="P60" i="14"/>
  <c r="L26" i="14"/>
  <c r="O26" i="14" s="1"/>
  <c r="L379" i="14"/>
  <c r="N26" i="14"/>
  <c r="N24" i="14" s="1"/>
  <c r="K314" i="13"/>
  <c r="P361" i="14"/>
  <c r="O357" i="14"/>
  <c r="M326" i="14"/>
  <c r="P326" i="14" s="1"/>
  <c r="O308" i="14"/>
  <c r="N284" i="14"/>
  <c r="N282" i="14" s="1"/>
  <c r="P174" i="14"/>
  <c r="K167" i="14"/>
  <c r="I168" i="14"/>
  <c r="K168" i="14" s="1"/>
  <c r="N159" i="14"/>
  <c r="P133" i="14"/>
  <c r="M131" i="14"/>
  <c r="P131" i="14" s="1"/>
  <c r="O126" i="14"/>
  <c r="O99" i="14"/>
  <c r="L97" i="14"/>
  <c r="O97" i="14" s="1"/>
  <c r="K87" i="14"/>
  <c r="I83" i="14"/>
  <c r="O25" i="14"/>
  <c r="N379" i="14"/>
  <c r="N377" i="14" s="1"/>
  <c r="N339" i="14"/>
  <c r="P304" i="14"/>
  <c r="L268" i="14"/>
  <c r="I195" i="14"/>
  <c r="K195" i="14" s="1"/>
  <c r="L188" i="14"/>
  <c r="N176" i="14"/>
  <c r="P176" i="14" s="1"/>
  <c r="P178" i="14"/>
  <c r="K152" i="14"/>
  <c r="I137" i="14"/>
  <c r="K137" i="14" s="1"/>
  <c r="M145" i="14"/>
  <c r="P145" i="14" s="1"/>
  <c r="P62" i="14"/>
  <c r="L254" i="14"/>
  <c r="O254" i="14" s="1"/>
  <c r="O140" i="14"/>
  <c r="I231" i="13"/>
  <c r="K231" i="13" s="1"/>
  <c r="J332" i="14"/>
  <c r="K332" i="14" s="1"/>
  <c r="M335" i="14"/>
  <c r="L322" i="14"/>
  <c r="O322" i="14" s="1"/>
  <c r="P267" i="14"/>
  <c r="P187" i="14"/>
  <c r="P130" i="14"/>
  <c r="M23" i="14"/>
  <c r="M21" i="14" s="1"/>
  <c r="M128" i="14"/>
  <c r="P128" i="14" s="1"/>
  <c r="P64" i="14"/>
  <c r="N61" i="14"/>
  <c r="N59" i="14" s="1"/>
  <c r="M26" i="14"/>
  <c r="P26" i="14" s="1"/>
  <c r="L19" i="14"/>
  <c r="M305" i="14"/>
  <c r="P305" i="14" s="1"/>
  <c r="M268" i="14"/>
  <c r="P268" i="14" s="1"/>
  <c r="M188" i="14"/>
  <c r="I93" i="14"/>
  <c r="K93" i="14" s="1"/>
  <c r="M61" i="14"/>
  <c r="P49" i="14"/>
  <c r="L61" i="14"/>
  <c r="N23" i="14"/>
  <c r="L141" i="14"/>
  <c r="L127" i="14"/>
  <c r="O127" i="14" s="1"/>
  <c r="N74" i="14"/>
  <c r="N72" i="14" s="1"/>
  <c r="L65" i="14"/>
  <c r="O65" i="14" s="1"/>
  <c r="L62" i="14"/>
  <c r="O62" i="14" s="1"/>
  <c r="N46" i="14"/>
  <c r="K229" i="14"/>
  <c r="N50" i="14"/>
  <c r="L23" i="14"/>
  <c r="P22" i="14"/>
  <c r="M305" i="13"/>
  <c r="M303" i="13" s="1"/>
  <c r="L335" i="11"/>
  <c r="L333" i="11" s="1"/>
  <c r="O308" i="13"/>
  <c r="L284" i="13"/>
  <c r="O284" i="13" s="1"/>
  <c r="O385" i="13"/>
  <c r="P311" i="13"/>
  <c r="P178" i="13"/>
  <c r="O52" i="13"/>
  <c r="P308" i="13"/>
  <c r="M306" i="13"/>
  <c r="P306" i="13" s="1"/>
  <c r="L222" i="13"/>
  <c r="O222" i="13" s="1"/>
  <c r="L203" i="13"/>
  <c r="O203" i="13" s="1"/>
  <c r="O178" i="13"/>
  <c r="M379" i="13"/>
  <c r="P379" i="13" s="1"/>
  <c r="N268" i="12"/>
  <c r="N266" i="12" s="1"/>
  <c r="P364" i="13"/>
  <c r="J351" i="13"/>
  <c r="P274" i="13"/>
  <c r="P165" i="13"/>
  <c r="L145" i="13"/>
  <c r="O145" i="13" s="1"/>
  <c r="O287" i="13"/>
  <c r="L214" i="13"/>
  <c r="O214" i="13" s="1"/>
  <c r="O165" i="13"/>
  <c r="O144" i="13"/>
  <c r="L46" i="13"/>
  <c r="L44" i="13" s="1"/>
  <c r="P385" i="13"/>
  <c r="P359" i="13"/>
  <c r="M268" i="13"/>
  <c r="P268" i="13" s="1"/>
  <c r="O176" i="13"/>
  <c r="N159" i="13"/>
  <c r="N157" i="13" s="1"/>
  <c r="L128" i="13"/>
  <c r="O128" i="13" s="1"/>
  <c r="P99" i="13"/>
  <c r="I93" i="13"/>
  <c r="K93" i="13" s="1"/>
  <c r="M380" i="13"/>
  <c r="P380" i="13" s="1"/>
  <c r="O359" i="13"/>
  <c r="P77" i="13"/>
  <c r="P52" i="13"/>
  <c r="I172" i="13"/>
  <c r="K172" i="13" s="1"/>
  <c r="L159" i="13"/>
  <c r="L157" i="13" s="1"/>
  <c r="M326" i="13"/>
  <c r="P326" i="13" s="1"/>
  <c r="K371" i="12"/>
  <c r="K346" i="12"/>
  <c r="P382" i="13"/>
  <c r="P361" i="13"/>
  <c r="P341" i="13"/>
  <c r="K330" i="13"/>
  <c r="P325" i="13"/>
  <c r="P304" i="13"/>
  <c r="N284" i="13"/>
  <c r="N282" i="13" s="1"/>
  <c r="L285" i="13"/>
  <c r="O285" i="13" s="1"/>
  <c r="K251" i="13"/>
  <c r="L233" i="13"/>
  <c r="I241" i="13"/>
  <c r="K241" i="13" s="1"/>
  <c r="K221" i="13"/>
  <c r="K209" i="13"/>
  <c r="N175" i="13"/>
  <c r="N173" i="13" s="1"/>
  <c r="K154" i="13"/>
  <c r="L141" i="13"/>
  <c r="L139" i="13" s="1"/>
  <c r="O139" i="13" s="1"/>
  <c r="P102" i="13"/>
  <c r="I82" i="13"/>
  <c r="K82" i="13" s="1"/>
  <c r="N74" i="13"/>
  <c r="N72" i="13" s="1"/>
  <c r="P49" i="13"/>
  <c r="O382" i="13"/>
  <c r="N358" i="13"/>
  <c r="N356" i="13" s="1"/>
  <c r="P338" i="13"/>
  <c r="N336" i="13"/>
  <c r="O336" i="13" s="1"/>
  <c r="K260" i="13"/>
  <c r="I213" i="13"/>
  <c r="K213" i="13" s="1"/>
  <c r="K202" i="13"/>
  <c r="N188" i="13"/>
  <c r="N186" i="13" s="1"/>
  <c r="P181" i="13"/>
  <c r="P176" i="13"/>
  <c r="P162" i="13"/>
  <c r="L100" i="13"/>
  <c r="O100" i="13" s="1"/>
  <c r="P80" i="13"/>
  <c r="O49" i="13"/>
  <c r="M322" i="13"/>
  <c r="P322" i="13" s="1"/>
  <c r="O181" i="13"/>
  <c r="L175" i="13"/>
  <c r="L173" i="13" s="1"/>
  <c r="O162" i="13"/>
  <c r="N160" i="13"/>
  <c r="I83" i="13"/>
  <c r="I71" i="13" s="1"/>
  <c r="K71" i="13" s="1"/>
  <c r="O80" i="13"/>
  <c r="L74" i="13"/>
  <c r="O74" i="13" s="1"/>
  <c r="O73" i="13"/>
  <c r="N46" i="13"/>
  <c r="N44" i="13" s="1"/>
  <c r="O47" i="13"/>
  <c r="L26" i="13"/>
  <c r="O26" i="13" s="1"/>
  <c r="L234" i="13"/>
  <c r="P271" i="13"/>
  <c r="M269" i="13"/>
  <c r="P269" i="13" s="1"/>
  <c r="I238" i="13"/>
  <c r="K238" i="13" s="1"/>
  <c r="L160" i="13"/>
  <c r="O160" i="13" s="1"/>
  <c r="L97" i="13"/>
  <c r="O97" i="13" s="1"/>
  <c r="P47" i="13"/>
  <c r="M19" i="13"/>
  <c r="L214" i="12"/>
  <c r="O214" i="12" s="1"/>
  <c r="M96" i="12"/>
  <c r="M94" i="12" s="1"/>
  <c r="J343" i="13"/>
  <c r="L235" i="13"/>
  <c r="K198" i="13"/>
  <c r="L127" i="13"/>
  <c r="L125" i="13" s="1"/>
  <c r="O125" i="13" s="1"/>
  <c r="K108" i="13"/>
  <c r="M96" i="13"/>
  <c r="P96" i="13" s="1"/>
  <c r="L96" i="13"/>
  <c r="L94" i="13" s="1"/>
  <c r="O94" i="13" s="1"/>
  <c r="L254" i="13"/>
  <c r="O254" i="13" s="1"/>
  <c r="P191" i="13"/>
  <c r="M189" i="13"/>
  <c r="P189" i="13" s="1"/>
  <c r="P67" i="13"/>
  <c r="M65" i="13"/>
  <c r="P65" i="13" s="1"/>
  <c r="N23" i="13"/>
  <c r="N62" i="13"/>
  <c r="O99" i="12"/>
  <c r="N379" i="13"/>
  <c r="N377" i="13" s="1"/>
  <c r="O364" i="13"/>
  <c r="O361" i="13"/>
  <c r="O341" i="13"/>
  <c r="O338" i="13"/>
  <c r="J332" i="13"/>
  <c r="K332" i="13" s="1"/>
  <c r="P287" i="13"/>
  <c r="M285" i="13"/>
  <c r="P285" i="13" s="1"/>
  <c r="N285" i="13"/>
  <c r="N268" i="13"/>
  <c r="N266" i="13" s="1"/>
  <c r="K253" i="13"/>
  <c r="N232" i="13"/>
  <c r="O191" i="13"/>
  <c r="M188" i="13"/>
  <c r="M186" i="13" s="1"/>
  <c r="P64" i="13"/>
  <c r="M62" i="13"/>
  <c r="N61" i="13"/>
  <c r="N59" i="13" s="1"/>
  <c r="K371" i="13"/>
  <c r="K344" i="13"/>
  <c r="M335" i="13"/>
  <c r="N322" i="13"/>
  <c r="N320" i="13" s="1"/>
  <c r="L306" i="13"/>
  <c r="O306" i="13" s="1"/>
  <c r="L272" i="13"/>
  <c r="O272" i="13" s="1"/>
  <c r="L268" i="13"/>
  <c r="L243" i="13"/>
  <c r="K167" i="13"/>
  <c r="I168" i="13"/>
  <c r="K168" i="13" s="1"/>
  <c r="I169" i="13"/>
  <c r="K169" i="13" s="1"/>
  <c r="N127" i="13"/>
  <c r="N125" i="13" s="1"/>
  <c r="O64" i="13"/>
  <c r="M61" i="13"/>
  <c r="L379" i="13"/>
  <c r="M358" i="13"/>
  <c r="L335" i="13"/>
  <c r="O325" i="13"/>
  <c r="L322" i="13"/>
  <c r="P290" i="13"/>
  <c r="M288" i="13"/>
  <c r="P288" i="13" s="1"/>
  <c r="I281" i="13"/>
  <c r="K281" i="13" s="1"/>
  <c r="P267" i="13"/>
  <c r="P187" i="13"/>
  <c r="N141" i="13"/>
  <c r="N139" i="13" s="1"/>
  <c r="L358" i="13"/>
  <c r="N305" i="13"/>
  <c r="K302" i="13"/>
  <c r="P60" i="13"/>
  <c r="O25" i="13"/>
  <c r="P19" i="13"/>
  <c r="L19" i="13"/>
  <c r="L309" i="13"/>
  <c r="O309" i="13" s="1"/>
  <c r="L305" i="13"/>
  <c r="M284" i="13"/>
  <c r="L269" i="13"/>
  <c r="O269" i="13" s="1"/>
  <c r="P194" i="13"/>
  <c r="M192" i="13"/>
  <c r="P192" i="13" s="1"/>
  <c r="I137" i="13"/>
  <c r="K137" i="13" s="1"/>
  <c r="N26" i="13"/>
  <c r="N24" i="13" s="1"/>
  <c r="N65" i="13"/>
  <c r="M26" i="13"/>
  <c r="L188" i="13"/>
  <c r="M141" i="13"/>
  <c r="P141" i="13" s="1"/>
  <c r="M127" i="13"/>
  <c r="L61" i="13"/>
  <c r="K249" i="13"/>
  <c r="L192" i="13"/>
  <c r="O192" i="13" s="1"/>
  <c r="L189" i="13"/>
  <c r="O189" i="13" s="1"/>
  <c r="K153" i="13"/>
  <c r="M145" i="13"/>
  <c r="P145" i="13" s="1"/>
  <c r="M142" i="13"/>
  <c r="P142" i="13" s="1"/>
  <c r="M131" i="13"/>
  <c r="P131" i="13" s="1"/>
  <c r="M128" i="13"/>
  <c r="P128" i="13" s="1"/>
  <c r="K85" i="13"/>
  <c r="L65" i="13"/>
  <c r="O65" i="13" s="1"/>
  <c r="L62" i="13"/>
  <c r="M23" i="13"/>
  <c r="M175" i="13"/>
  <c r="M159" i="13"/>
  <c r="N96" i="13"/>
  <c r="N94" i="13" s="1"/>
  <c r="M74" i="13"/>
  <c r="M46" i="13"/>
  <c r="L23" i="13"/>
  <c r="P22" i="13"/>
  <c r="M326" i="12"/>
  <c r="P326" i="12" s="1"/>
  <c r="L323" i="12"/>
  <c r="O323" i="12" s="1"/>
  <c r="P133" i="12"/>
  <c r="L234" i="11"/>
  <c r="K252" i="12"/>
  <c r="P130" i="12"/>
  <c r="M100" i="12"/>
  <c r="P100" i="12" s="1"/>
  <c r="M192" i="11"/>
  <c r="P192" i="11" s="1"/>
  <c r="K369" i="12"/>
  <c r="L284" i="12"/>
  <c r="O284" i="12" s="1"/>
  <c r="L192" i="12"/>
  <c r="O192" i="12" s="1"/>
  <c r="O194" i="12"/>
  <c r="P359" i="12"/>
  <c r="K344" i="12"/>
  <c r="M339" i="12"/>
  <c r="P339" i="12" s="1"/>
  <c r="L322" i="12"/>
  <c r="O322" i="12" s="1"/>
  <c r="N305" i="12"/>
  <c r="L358" i="1"/>
  <c r="M305" i="12"/>
  <c r="M303" i="12" s="1"/>
  <c r="O274" i="12"/>
  <c r="K229" i="12"/>
  <c r="M142" i="12"/>
  <c r="P142" i="12" s="1"/>
  <c r="P144" i="12"/>
  <c r="L65" i="12"/>
  <c r="O65" i="12" s="1"/>
  <c r="O67" i="12"/>
  <c r="L379" i="12"/>
  <c r="L377" i="12" s="1"/>
  <c r="O377" i="12" s="1"/>
  <c r="K368" i="12"/>
  <c r="J343" i="12"/>
  <c r="O290" i="12"/>
  <c r="P287" i="12"/>
  <c r="K209" i="12"/>
  <c r="I202" i="12"/>
  <c r="K202" i="12" s="1"/>
  <c r="M189" i="12"/>
  <c r="P191" i="12"/>
  <c r="J351" i="12"/>
  <c r="M192" i="12"/>
  <c r="P192" i="12" s="1"/>
  <c r="P194" i="12"/>
  <c r="L188" i="12"/>
  <c r="L186" i="12" s="1"/>
  <c r="L243" i="12"/>
  <c r="O243" i="12" s="1"/>
  <c r="K221" i="12"/>
  <c r="K108" i="12"/>
  <c r="P47" i="12"/>
  <c r="L234" i="12"/>
  <c r="M159" i="12"/>
  <c r="P159" i="12" s="1"/>
  <c r="K251" i="12"/>
  <c r="L159" i="12"/>
  <c r="O159" i="12" s="1"/>
  <c r="N141" i="12"/>
  <c r="N139" i="12" s="1"/>
  <c r="P385" i="12"/>
  <c r="L383" i="12"/>
  <c r="O383" i="12" s="1"/>
  <c r="M362" i="12"/>
  <c r="P362" i="12" s="1"/>
  <c r="P338" i="12"/>
  <c r="L326" i="12"/>
  <c r="O326" i="12" s="1"/>
  <c r="O308" i="12"/>
  <c r="M306" i="12"/>
  <c r="K292" i="12"/>
  <c r="O287" i="12"/>
  <c r="M272" i="12"/>
  <c r="P272" i="12" s="1"/>
  <c r="K220" i="12"/>
  <c r="L74" i="12"/>
  <c r="L72" i="12" s="1"/>
  <c r="O72" i="12" s="1"/>
  <c r="L46" i="12"/>
  <c r="L44" i="12" s="1"/>
  <c r="P382" i="12"/>
  <c r="L380" i="12"/>
  <c r="O380" i="12" s="1"/>
  <c r="L335" i="12"/>
  <c r="L333" i="12" s="1"/>
  <c r="N322" i="12"/>
  <c r="N320" i="12" s="1"/>
  <c r="M323" i="12"/>
  <c r="P323" i="12" s="1"/>
  <c r="L233" i="12"/>
  <c r="L235" i="12"/>
  <c r="L189" i="12"/>
  <c r="L179" i="12"/>
  <c r="O179" i="12" s="1"/>
  <c r="I156" i="12"/>
  <c r="K156" i="12" s="1"/>
  <c r="M141" i="12"/>
  <c r="M358" i="12"/>
  <c r="M356" i="12" s="1"/>
  <c r="L305" i="12"/>
  <c r="L303" i="12" s="1"/>
  <c r="P290" i="12"/>
  <c r="M284" i="12"/>
  <c r="P284" i="12" s="1"/>
  <c r="N188" i="12"/>
  <c r="N186" i="12" s="1"/>
  <c r="N175" i="12"/>
  <c r="N173" i="12" s="1"/>
  <c r="L163" i="12"/>
  <c r="O163" i="12" s="1"/>
  <c r="L160" i="12"/>
  <c r="O160" i="12" s="1"/>
  <c r="P147" i="12"/>
  <c r="O142" i="12"/>
  <c r="M127" i="12"/>
  <c r="P127" i="12" s="1"/>
  <c r="P126" i="12"/>
  <c r="L61" i="12"/>
  <c r="L59" i="12" s="1"/>
  <c r="O361" i="12"/>
  <c r="K330" i="12"/>
  <c r="M322" i="12"/>
  <c r="M320" i="12" s="1"/>
  <c r="P320" i="12" s="1"/>
  <c r="K293" i="12"/>
  <c r="I238" i="12"/>
  <c r="K238" i="12" s="1"/>
  <c r="I172" i="12"/>
  <c r="K172" i="12" s="1"/>
  <c r="I136" i="12"/>
  <c r="K136" i="12" s="1"/>
  <c r="M97" i="12"/>
  <c r="I82" i="12"/>
  <c r="K82" i="12" s="1"/>
  <c r="L78" i="12"/>
  <c r="O78" i="12" s="1"/>
  <c r="L75" i="12"/>
  <c r="O75" i="12" s="1"/>
  <c r="P67" i="12"/>
  <c r="L50" i="12"/>
  <c r="O50" i="12" s="1"/>
  <c r="L47" i="12"/>
  <c r="O47" i="12" s="1"/>
  <c r="K314" i="12"/>
  <c r="L203" i="12"/>
  <c r="O203" i="12" s="1"/>
  <c r="L175" i="12"/>
  <c r="O175" i="12" s="1"/>
  <c r="K109" i="12"/>
  <c r="O176" i="12"/>
  <c r="L358" i="12"/>
  <c r="M176" i="12"/>
  <c r="P176" i="12" s="1"/>
  <c r="P178" i="12"/>
  <c r="L362" i="12"/>
  <c r="O362" i="12" s="1"/>
  <c r="L141" i="12"/>
  <c r="P19" i="12"/>
  <c r="P311" i="11"/>
  <c r="P308" i="11"/>
  <c r="P271" i="11"/>
  <c r="I238" i="11"/>
  <c r="K238" i="11" s="1"/>
  <c r="O382" i="12"/>
  <c r="P361" i="12"/>
  <c r="I332" i="12"/>
  <c r="O311" i="12"/>
  <c r="P308" i="12"/>
  <c r="N306" i="12"/>
  <c r="N272" i="12"/>
  <c r="K249" i="12"/>
  <c r="L222" i="12"/>
  <c r="O222" i="12" s="1"/>
  <c r="I195" i="12"/>
  <c r="K195" i="12" s="1"/>
  <c r="M175" i="12"/>
  <c r="M173" i="12" s="1"/>
  <c r="N159" i="12"/>
  <c r="N157" i="12" s="1"/>
  <c r="K153" i="12"/>
  <c r="O144" i="12"/>
  <c r="P60" i="12"/>
  <c r="O25" i="12"/>
  <c r="J351" i="11"/>
  <c r="I365" i="12"/>
  <c r="K365" i="12" s="1"/>
  <c r="L359" i="12"/>
  <c r="O359" i="12" s="1"/>
  <c r="M269" i="12"/>
  <c r="P269" i="12" s="1"/>
  <c r="K242" i="12"/>
  <c r="M358" i="11"/>
  <c r="M356" i="11" s="1"/>
  <c r="O147" i="11"/>
  <c r="N379" i="12"/>
  <c r="N377" i="12" s="1"/>
  <c r="O341" i="12"/>
  <c r="O338" i="12"/>
  <c r="N335" i="12"/>
  <c r="O321" i="12"/>
  <c r="L288" i="12"/>
  <c r="O288" i="12" s="1"/>
  <c r="I253" i="12"/>
  <c r="K253" i="12" s="1"/>
  <c r="O147" i="12"/>
  <c r="O130" i="12"/>
  <c r="O102" i="12"/>
  <c r="L23" i="12"/>
  <c r="L97" i="12"/>
  <c r="L96" i="12"/>
  <c r="L336" i="12"/>
  <c r="O336" i="12" s="1"/>
  <c r="O191" i="12"/>
  <c r="N189" i="12"/>
  <c r="L131" i="12"/>
  <c r="O131" i="12" s="1"/>
  <c r="L127" i="12"/>
  <c r="O127" i="12" s="1"/>
  <c r="M379" i="12"/>
  <c r="P379" i="12" s="1"/>
  <c r="N358" i="12"/>
  <c r="O271" i="12"/>
  <c r="M268" i="12"/>
  <c r="P268" i="12" s="1"/>
  <c r="L254" i="12"/>
  <c r="O254" i="12" s="1"/>
  <c r="L236" i="12"/>
  <c r="P187" i="12"/>
  <c r="M179" i="12"/>
  <c r="P179" i="12" s="1"/>
  <c r="P181" i="12"/>
  <c r="P158" i="12"/>
  <c r="K152" i="12"/>
  <c r="I137" i="12"/>
  <c r="K137" i="12" s="1"/>
  <c r="K87" i="12"/>
  <c r="I83" i="12"/>
  <c r="O64" i="12"/>
  <c r="P64" i="12"/>
  <c r="N62" i="12"/>
  <c r="O62" i="12" s="1"/>
  <c r="M160" i="12"/>
  <c r="P160" i="12" s="1"/>
  <c r="P162" i="12"/>
  <c r="N97" i="12"/>
  <c r="N96" i="12"/>
  <c r="N94" i="12" s="1"/>
  <c r="J332" i="12"/>
  <c r="M335" i="12"/>
  <c r="M336" i="12"/>
  <c r="P336" i="12" s="1"/>
  <c r="M309" i="12"/>
  <c r="P309" i="12" s="1"/>
  <c r="L268" i="12"/>
  <c r="M163" i="12"/>
  <c r="P163" i="12" s="1"/>
  <c r="P165" i="12"/>
  <c r="K92" i="12"/>
  <c r="N61" i="12"/>
  <c r="N59" i="12" s="1"/>
  <c r="N26" i="12"/>
  <c r="N24" i="12" s="1"/>
  <c r="M26" i="12"/>
  <c r="O19" i="12"/>
  <c r="N284" i="12"/>
  <c r="N282" i="12" s="1"/>
  <c r="M188" i="12"/>
  <c r="N127" i="12"/>
  <c r="N125" i="12" s="1"/>
  <c r="P80" i="12"/>
  <c r="P77" i="12"/>
  <c r="M61" i="12"/>
  <c r="P52" i="12"/>
  <c r="P49" i="12"/>
  <c r="L26" i="12"/>
  <c r="O26" i="12" s="1"/>
  <c r="O178" i="12"/>
  <c r="O162" i="12"/>
  <c r="P99" i="12"/>
  <c r="O77" i="12"/>
  <c r="O49" i="12"/>
  <c r="P25" i="12"/>
  <c r="N23" i="12"/>
  <c r="N74" i="12"/>
  <c r="N72" i="12" s="1"/>
  <c r="N46" i="12"/>
  <c r="N44" i="12" s="1"/>
  <c r="M23" i="12"/>
  <c r="M74" i="12"/>
  <c r="P74" i="12" s="1"/>
  <c r="N50" i="12"/>
  <c r="M46" i="12"/>
  <c r="M44" i="12" s="1"/>
  <c r="K330" i="11"/>
  <c r="M96" i="11"/>
  <c r="P96" i="11" s="1"/>
  <c r="L78" i="11"/>
  <c r="O78" i="11" s="1"/>
  <c r="L61" i="11"/>
  <c r="L59" i="11" s="1"/>
  <c r="P341" i="11"/>
  <c r="P328" i="11"/>
  <c r="L222" i="11"/>
  <c r="O222" i="11" s="1"/>
  <c r="K220" i="11"/>
  <c r="M163" i="11"/>
  <c r="P163" i="11" s="1"/>
  <c r="P385" i="10"/>
  <c r="P382" i="10"/>
  <c r="M179" i="11"/>
  <c r="P179" i="11" s="1"/>
  <c r="L163" i="11"/>
  <c r="O163" i="11" s="1"/>
  <c r="M305" i="10"/>
  <c r="M303" i="10" s="1"/>
  <c r="P303" i="10" s="1"/>
  <c r="N305" i="11"/>
  <c r="N303" i="11" s="1"/>
  <c r="K198" i="11"/>
  <c r="K153" i="11"/>
  <c r="M100" i="11"/>
  <c r="P100" i="11" s="1"/>
  <c r="O67" i="11"/>
  <c r="O130" i="11"/>
  <c r="L74" i="11"/>
  <c r="L72" i="11" s="1"/>
  <c r="O72" i="11" s="1"/>
  <c r="L62" i="11"/>
  <c r="O385" i="11"/>
  <c r="K368" i="11"/>
  <c r="L305" i="11"/>
  <c r="L303" i="11" s="1"/>
  <c r="O303" i="11" s="1"/>
  <c r="O290" i="11"/>
  <c r="L254" i="11"/>
  <c r="O254" i="11" s="1"/>
  <c r="L233" i="11"/>
  <c r="N188" i="11"/>
  <c r="M175" i="11"/>
  <c r="M173" i="11" s="1"/>
  <c r="M159" i="11"/>
  <c r="P159" i="11" s="1"/>
  <c r="O382" i="11"/>
  <c r="K346" i="11"/>
  <c r="K293" i="11"/>
  <c r="K260" i="11"/>
  <c r="K249" i="11"/>
  <c r="O178" i="11"/>
  <c r="O162" i="11"/>
  <c r="M127" i="11"/>
  <c r="P127" i="11" s="1"/>
  <c r="M26" i="11"/>
  <c r="P26" i="11" s="1"/>
  <c r="K314" i="10"/>
  <c r="L379" i="11"/>
  <c r="L377" i="11" s="1"/>
  <c r="O377" i="11" s="1"/>
  <c r="K369" i="11"/>
  <c r="N322" i="11"/>
  <c r="N320" i="11" s="1"/>
  <c r="K292" i="11"/>
  <c r="I242" i="11"/>
  <c r="I231" i="11" s="1"/>
  <c r="K231" i="11" s="1"/>
  <c r="M50" i="11"/>
  <c r="P50" i="11" s="1"/>
  <c r="N61" i="11"/>
  <c r="N59" i="11" s="1"/>
  <c r="M46" i="11"/>
  <c r="M44" i="11" s="1"/>
  <c r="M145" i="11"/>
  <c r="P145" i="11" s="1"/>
  <c r="K152" i="9"/>
  <c r="O80" i="10"/>
  <c r="O361" i="11"/>
  <c r="K344" i="11"/>
  <c r="O311" i="11"/>
  <c r="L284" i="11"/>
  <c r="O284" i="11" s="1"/>
  <c r="M268" i="11"/>
  <c r="P268" i="11" s="1"/>
  <c r="L268" i="11"/>
  <c r="L266" i="11" s="1"/>
  <c r="O266" i="11" s="1"/>
  <c r="I202" i="11"/>
  <c r="K202" i="11" s="1"/>
  <c r="M188" i="11"/>
  <c r="M186" i="11" s="1"/>
  <c r="K183" i="11"/>
  <c r="L160" i="11"/>
  <c r="O160" i="11" s="1"/>
  <c r="I156" i="11"/>
  <c r="K156" i="11" s="1"/>
  <c r="P133" i="11"/>
  <c r="N127" i="11"/>
  <c r="N125" i="11" s="1"/>
  <c r="N128" i="11"/>
  <c r="N96" i="11"/>
  <c r="N94" i="11" s="1"/>
  <c r="M97" i="11"/>
  <c r="P97" i="11" s="1"/>
  <c r="M78" i="11"/>
  <c r="P78" i="11" s="1"/>
  <c r="L46" i="11"/>
  <c r="L44" i="11" s="1"/>
  <c r="I302" i="11"/>
  <c r="K302" i="11" s="1"/>
  <c r="P274" i="11"/>
  <c r="L236" i="11"/>
  <c r="L243" i="11"/>
  <c r="O144" i="11"/>
  <c r="O133" i="11"/>
  <c r="M128" i="11"/>
  <c r="P128" i="11" s="1"/>
  <c r="I92" i="11"/>
  <c r="K92" i="11" s="1"/>
  <c r="M65" i="11"/>
  <c r="P65" i="11" s="1"/>
  <c r="L335" i="10"/>
  <c r="L333" i="10" s="1"/>
  <c r="J332" i="11"/>
  <c r="O325" i="11"/>
  <c r="O274" i="11"/>
  <c r="L203" i="11"/>
  <c r="O203" i="11" s="1"/>
  <c r="L179" i="11"/>
  <c r="O179" i="11" s="1"/>
  <c r="M176" i="11"/>
  <c r="P176" i="11" s="1"/>
  <c r="N141" i="11"/>
  <c r="N139" i="11" s="1"/>
  <c r="N142" i="11"/>
  <c r="L75" i="11"/>
  <c r="O75" i="11" s="1"/>
  <c r="P67" i="11"/>
  <c r="M61" i="11"/>
  <c r="L50" i="11"/>
  <c r="O50" i="11" s="1"/>
  <c r="M47" i="11"/>
  <c r="P47" i="11" s="1"/>
  <c r="M19" i="11"/>
  <c r="P19" i="11" s="1"/>
  <c r="O64" i="10"/>
  <c r="K371" i="11"/>
  <c r="P364" i="11"/>
  <c r="M359" i="11"/>
  <c r="P359" i="11" s="1"/>
  <c r="M323" i="11"/>
  <c r="P323" i="11" s="1"/>
  <c r="M305" i="11"/>
  <c r="L176" i="11"/>
  <c r="O176" i="11" s="1"/>
  <c r="M141" i="11"/>
  <c r="P141" i="11" s="1"/>
  <c r="M142" i="11"/>
  <c r="P142" i="11" s="1"/>
  <c r="M74" i="11"/>
  <c r="P74" i="11" s="1"/>
  <c r="P73" i="11"/>
  <c r="L47" i="11"/>
  <c r="O47" i="11" s="1"/>
  <c r="N19" i="11"/>
  <c r="P336" i="11"/>
  <c r="L358" i="11"/>
  <c r="O162" i="10"/>
  <c r="P385" i="11"/>
  <c r="P382" i="11"/>
  <c r="I365" i="11"/>
  <c r="K365" i="11" s="1"/>
  <c r="L362" i="11"/>
  <c r="O362" i="11" s="1"/>
  <c r="L359" i="11"/>
  <c r="O359" i="11" s="1"/>
  <c r="J343" i="11"/>
  <c r="L339" i="11"/>
  <c r="O339" i="11" s="1"/>
  <c r="N335" i="11"/>
  <c r="N333" i="11" s="1"/>
  <c r="O328" i="11"/>
  <c r="M322" i="11"/>
  <c r="O287" i="11"/>
  <c r="N284" i="11"/>
  <c r="N282" i="11" s="1"/>
  <c r="L235" i="11"/>
  <c r="K195" i="11"/>
  <c r="O191" i="11"/>
  <c r="L188" i="11"/>
  <c r="N175" i="11"/>
  <c r="N159" i="11"/>
  <c r="N157" i="11" s="1"/>
  <c r="P60" i="11"/>
  <c r="L306" i="11"/>
  <c r="O306" i="11" s="1"/>
  <c r="L234" i="10"/>
  <c r="K108" i="10"/>
  <c r="P361" i="11"/>
  <c r="P338" i="11"/>
  <c r="M335" i="11"/>
  <c r="L322" i="11"/>
  <c r="O322" i="11" s="1"/>
  <c r="M284" i="11"/>
  <c r="P284" i="11" s="1"/>
  <c r="L269" i="11"/>
  <c r="O269" i="11" s="1"/>
  <c r="P191" i="11"/>
  <c r="N189" i="11"/>
  <c r="P189" i="11" s="1"/>
  <c r="L175" i="11"/>
  <c r="I168" i="11"/>
  <c r="K168" i="11" s="1"/>
  <c r="I169" i="11"/>
  <c r="K169" i="11" s="1"/>
  <c r="L159" i="11"/>
  <c r="K152" i="11"/>
  <c r="I137" i="11"/>
  <c r="K137" i="11" s="1"/>
  <c r="O64" i="11"/>
  <c r="P64" i="11"/>
  <c r="N62" i="11"/>
  <c r="N379" i="11"/>
  <c r="N377" i="11" s="1"/>
  <c r="O341" i="11"/>
  <c r="I332" i="11"/>
  <c r="O321" i="11"/>
  <c r="O308" i="11"/>
  <c r="I221" i="11"/>
  <c r="K221" i="11" s="1"/>
  <c r="O194" i="11"/>
  <c r="O102" i="11"/>
  <c r="L100" i="11"/>
  <c r="O100" i="11" s="1"/>
  <c r="L96" i="11"/>
  <c r="O96" i="11" s="1"/>
  <c r="O25" i="11"/>
  <c r="M379" i="11"/>
  <c r="P379" i="11" s="1"/>
  <c r="N358" i="11"/>
  <c r="N356" i="11" s="1"/>
  <c r="M285" i="11"/>
  <c r="P285" i="11" s="1"/>
  <c r="P283" i="11"/>
  <c r="L214" i="11"/>
  <c r="O214" i="11" s="1"/>
  <c r="O99" i="11"/>
  <c r="L97" i="11"/>
  <c r="O97" i="11" s="1"/>
  <c r="K87" i="11"/>
  <c r="I83" i="11"/>
  <c r="N26" i="11"/>
  <c r="N24" i="11" s="1"/>
  <c r="O338" i="11"/>
  <c r="L336" i="11"/>
  <c r="O336" i="11" s="1"/>
  <c r="M288" i="11"/>
  <c r="P288" i="11" s="1"/>
  <c r="N268" i="11"/>
  <c r="N266" i="11" s="1"/>
  <c r="I82" i="11"/>
  <c r="L19" i="11"/>
  <c r="P178" i="11"/>
  <c r="P162" i="11"/>
  <c r="K154" i="11"/>
  <c r="I93" i="11"/>
  <c r="K93" i="11" s="1"/>
  <c r="P77" i="11"/>
  <c r="P49" i="11"/>
  <c r="L26" i="11"/>
  <c r="O26" i="11" s="1"/>
  <c r="P99" i="11"/>
  <c r="O95" i="11"/>
  <c r="O77" i="11"/>
  <c r="O49" i="11"/>
  <c r="P25" i="11"/>
  <c r="N23" i="11"/>
  <c r="L141" i="11"/>
  <c r="O141" i="11" s="1"/>
  <c r="L127" i="11"/>
  <c r="O127" i="11" s="1"/>
  <c r="N74" i="11"/>
  <c r="N72" i="11" s="1"/>
  <c r="N46" i="11"/>
  <c r="N44" i="11" s="1"/>
  <c r="M23" i="11"/>
  <c r="M21" i="11" s="1"/>
  <c r="N50" i="11"/>
  <c r="L23" i="11"/>
  <c r="L21" i="11" s="1"/>
  <c r="P22" i="11"/>
  <c r="N174" i="1"/>
  <c r="K209" i="10"/>
  <c r="O144" i="10"/>
  <c r="J351" i="10"/>
  <c r="P287" i="10"/>
  <c r="N268" i="10"/>
  <c r="N266" i="10" s="1"/>
  <c r="K153" i="10"/>
  <c r="I365" i="10"/>
  <c r="K365" i="10" s="1"/>
  <c r="J343" i="10"/>
  <c r="O287" i="10"/>
  <c r="L236" i="10"/>
  <c r="P364" i="10"/>
  <c r="P308" i="10"/>
  <c r="M159" i="10"/>
  <c r="P159" i="10" s="1"/>
  <c r="N284" i="10"/>
  <c r="N282" i="10" s="1"/>
  <c r="O385" i="10"/>
  <c r="I136" i="10"/>
  <c r="K136" i="10" s="1"/>
  <c r="O130" i="10"/>
  <c r="N74" i="10"/>
  <c r="N72" i="10" s="1"/>
  <c r="J351" i="9"/>
  <c r="L233" i="10"/>
  <c r="O191" i="10"/>
  <c r="K251" i="9"/>
  <c r="L233" i="9"/>
  <c r="P67" i="9"/>
  <c r="K346" i="10"/>
  <c r="M322" i="10"/>
  <c r="P322" i="10" s="1"/>
  <c r="P102" i="10"/>
  <c r="L74" i="10"/>
  <c r="O74" i="10" s="1"/>
  <c r="M61" i="10"/>
  <c r="M59" i="10" s="1"/>
  <c r="K344" i="10"/>
  <c r="O176" i="10"/>
  <c r="M96" i="10"/>
  <c r="P96" i="10" s="1"/>
  <c r="P47" i="10"/>
  <c r="O382" i="10"/>
  <c r="O364" i="10"/>
  <c r="N305" i="10"/>
  <c r="N303" i="10" s="1"/>
  <c r="I240" i="10"/>
  <c r="K240" i="10" s="1"/>
  <c r="K202" i="10"/>
  <c r="M175" i="10"/>
  <c r="M173" i="10" s="1"/>
  <c r="N141" i="10"/>
  <c r="N139" i="10" s="1"/>
  <c r="M141" i="10"/>
  <c r="P141" i="10" s="1"/>
  <c r="L46" i="10"/>
  <c r="L44" i="10" s="1"/>
  <c r="O274" i="9"/>
  <c r="P189" i="9"/>
  <c r="N379" i="10"/>
  <c r="N377" i="10" s="1"/>
  <c r="P290" i="10"/>
  <c r="O274" i="10"/>
  <c r="K260" i="10"/>
  <c r="K249" i="10"/>
  <c r="L214" i="10"/>
  <c r="O214" i="10" s="1"/>
  <c r="L203" i="10"/>
  <c r="O203" i="10" s="1"/>
  <c r="P194" i="10"/>
  <c r="L175" i="10"/>
  <c r="L173" i="10" s="1"/>
  <c r="L159" i="10"/>
  <c r="O159" i="10" s="1"/>
  <c r="P341" i="10"/>
  <c r="O290" i="10"/>
  <c r="M272" i="10"/>
  <c r="P272" i="10" s="1"/>
  <c r="K220" i="10"/>
  <c r="K198" i="10"/>
  <c r="P191" i="10"/>
  <c r="O165" i="10"/>
  <c r="O77" i="10"/>
  <c r="N75" i="10"/>
  <c r="O52" i="10"/>
  <c r="L358" i="10"/>
  <c r="L356" i="10" s="1"/>
  <c r="O341" i="10"/>
  <c r="L336" i="10"/>
  <c r="O336" i="10" s="1"/>
  <c r="I332" i="10"/>
  <c r="L322" i="10"/>
  <c r="O322" i="10" s="1"/>
  <c r="M268" i="10"/>
  <c r="P268" i="10" s="1"/>
  <c r="K195" i="10"/>
  <c r="O181" i="10"/>
  <c r="L75" i="10"/>
  <c r="O75" i="10" s="1"/>
  <c r="P67" i="10"/>
  <c r="M62" i="10"/>
  <c r="M19" i="10"/>
  <c r="L235" i="9"/>
  <c r="L214" i="9"/>
  <c r="O214" i="9" s="1"/>
  <c r="P130" i="9"/>
  <c r="J332" i="10"/>
  <c r="N322" i="10"/>
  <c r="N320" i="10" s="1"/>
  <c r="N285" i="10"/>
  <c r="K252" i="10"/>
  <c r="L235" i="10"/>
  <c r="K229" i="10"/>
  <c r="L222" i="10"/>
  <c r="O222" i="10" s="1"/>
  <c r="M188" i="10"/>
  <c r="M186" i="10" s="1"/>
  <c r="I172" i="10"/>
  <c r="K172" i="10" s="1"/>
  <c r="N127" i="10"/>
  <c r="N125" i="10" s="1"/>
  <c r="K109" i="10"/>
  <c r="P99" i="10"/>
  <c r="N46" i="10"/>
  <c r="N44" i="10" s="1"/>
  <c r="L47" i="10"/>
  <c r="O47" i="10" s="1"/>
  <c r="N19" i="10"/>
  <c r="O359" i="10"/>
  <c r="P359" i="10"/>
  <c r="I231" i="10"/>
  <c r="K231" i="10" s="1"/>
  <c r="K242" i="10"/>
  <c r="N323" i="10"/>
  <c r="I319" i="10"/>
  <c r="K319" i="10" s="1"/>
  <c r="L145" i="10"/>
  <c r="O145" i="10" s="1"/>
  <c r="O126" i="10"/>
  <c r="M78" i="10"/>
  <c r="P78" i="10" s="1"/>
  <c r="P80" i="10"/>
  <c r="P361" i="10"/>
  <c r="P338" i="10"/>
  <c r="P328" i="10"/>
  <c r="M323" i="10"/>
  <c r="P323" i="10" s="1"/>
  <c r="M309" i="10"/>
  <c r="P309" i="10" s="1"/>
  <c r="M284" i="10"/>
  <c r="N269" i="10"/>
  <c r="L268" i="10"/>
  <c r="I238" i="10"/>
  <c r="K238" i="10" s="1"/>
  <c r="N188" i="10"/>
  <c r="I185" i="10"/>
  <c r="K185" i="10" s="1"/>
  <c r="N175" i="10"/>
  <c r="M163" i="10"/>
  <c r="P163" i="10" s="1"/>
  <c r="P165" i="10"/>
  <c r="I156" i="10"/>
  <c r="K156" i="10" s="1"/>
  <c r="L141" i="10"/>
  <c r="O141" i="10" s="1"/>
  <c r="L131" i="10"/>
  <c r="O131" i="10" s="1"/>
  <c r="M127" i="10"/>
  <c r="P64" i="10"/>
  <c r="N62" i="10"/>
  <c r="P19" i="10"/>
  <c r="P341" i="9"/>
  <c r="P271" i="9"/>
  <c r="L46" i="9"/>
  <c r="L44" i="9" s="1"/>
  <c r="O361" i="10"/>
  <c r="O338" i="10"/>
  <c r="L323" i="10"/>
  <c r="O323" i="10" s="1"/>
  <c r="K293" i="10"/>
  <c r="L284" i="10"/>
  <c r="O284" i="10" s="1"/>
  <c r="I281" i="10"/>
  <c r="K281" i="10" s="1"/>
  <c r="M269" i="10"/>
  <c r="P269" i="10" s="1"/>
  <c r="L254" i="10"/>
  <c r="O254" i="10" s="1"/>
  <c r="L192" i="10"/>
  <c r="O192" i="10" s="1"/>
  <c r="L188" i="10"/>
  <c r="O178" i="10"/>
  <c r="N159" i="10"/>
  <c r="N157" i="10" s="1"/>
  <c r="L127" i="10"/>
  <c r="O127" i="10" s="1"/>
  <c r="N96" i="10"/>
  <c r="N94" i="10" s="1"/>
  <c r="M75" i="10"/>
  <c r="P75" i="10" s="1"/>
  <c r="P77" i="10"/>
  <c r="M74" i="10"/>
  <c r="N61" i="10"/>
  <c r="N59" i="10" s="1"/>
  <c r="O73" i="10"/>
  <c r="M379" i="10"/>
  <c r="N358" i="10"/>
  <c r="N356" i="10" s="1"/>
  <c r="N335" i="10"/>
  <c r="N333" i="10" s="1"/>
  <c r="P311" i="10"/>
  <c r="O308" i="10"/>
  <c r="L243" i="10"/>
  <c r="P187" i="10"/>
  <c r="M142" i="10"/>
  <c r="P142" i="10" s="1"/>
  <c r="O99" i="10"/>
  <c r="L96" i="10"/>
  <c r="I82" i="10"/>
  <c r="N26" i="10"/>
  <c r="N24" i="10" s="1"/>
  <c r="O25" i="10"/>
  <c r="M179" i="10"/>
  <c r="P179" i="10" s="1"/>
  <c r="P181" i="10"/>
  <c r="P47" i="7"/>
  <c r="L379" i="10"/>
  <c r="O379" i="10" s="1"/>
  <c r="M358" i="10"/>
  <c r="M356" i="10" s="1"/>
  <c r="M335" i="10"/>
  <c r="L326" i="10"/>
  <c r="O326" i="10" s="1"/>
  <c r="O311" i="10"/>
  <c r="O283" i="10"/>
  <c r="P189" i="10"/>
  <c r="M176" i="10"/>
  <c r="P176" i="10" s="1"/>
  <c r="P178" i="10"/>
  <c r="M128" i="10"/>
  <c r="P128" i="10" s="1"/>
  <c r="I83" i="10"/>
  <c r="K85" i="10"/>
  <c r="M131" i="10"/>
  <c r="P131" i="10" s="1"/>
  <c r="P325" i="9"/>
  <c r="K109" i="9"/>
  <c r="M336" i="10"/>
  <c r="P336" i="10" s="1"/>
  <c r="P325" i="10"/>
  <c r="L305" i="10"/>
  <c r="O305" i="10" s="1"/>
  <c r="O271" i="10"/>
  <c r="L189" i="10"/>
  <c r="O189" i="10" s="1"/>
  <c r="M160" i="10"/>
  <c r="P160" i="10" s="1"/>
  <c r="P162" i="10"/>
  <c r="K152" i="10"/>
  <c r="I137" i="10"/>
  <c r="K137" i="10" s="1"/>
  <c r="M145" i="10"/>
  <c r="P145" i="10" s="1"/>
  <c r="O140" i="10"/>
  <c r="O102" i="10"/>
  <c r="P60" i="10"/>
  <c r="L26" i="10"/>
  <c r="O26" i="10" s="1"/>
  <c r="M26" i="10"/>
  <c r="L19" i="10"/>
  <c r="P52" i="10"/>
  <c r="P49" i="10"/>
  <c r="O45" i="10"/>
  <c r="L61" i="10"/>
  <c r="O49" i="10"/>
  <c r="N23" i="10"/>
  <c r="L65" i="10"/>
  <c r="O65" i="10" s="1"/>
  <c r="L62" i="10"/>
  <c r="M23" i="10"/>
  <c r="M21" i="10" s="1"/>
  <c r="M46" i="10"/>
  <c r="L23" i="10"/>
  <c r="L21" i="10" s="1"/>
  <c r="P22" i="10"/>
  <c r="L50" i="9"/>
  <c r="O50" i="9" s="1"/>
  <c r="J343" i="9"/>
  <c r="L163" i="9"/>
  <c r="O163" i="9" s="1"/>
  <c r="K153" i="9"/>
  <c r="O147" i="9"/>
  <c r="P144" i="9"/>
  <c r="O49" i="9"/>
  <c r="P311" i="9"/>
  <c r="K108" i="9"/>
  <c r="N45" i="1"/>
  <c r="N44" i="1" s="1"/>
  <c r="O99" i="9"/>
  <c r="L322" i="8"/>
  <c r="L320" i="8" s="1"/>
  <c r="O320" i="8" s="1"/>
  <c r="O382" i="9"/>
  <c r="L176" i="9"/>
  <c r="O176" i="9" s="1"/>
  <c r="L175" i="9"/>
  <c r="L173" i="9" s="1"/>
  <c r="M100" i="9"/>
  <c r="P100" i="9" s="1"/>
  <c r="N379" i="9"/>
  <c r="N377" i="9" s="1"/>
  <c r="L358" i="9"/>
  <c r="L356" i="9" s="1"/>
  <c r="L306" i="9"/>
  <c r="O306" i="9" s="1"/>
  <c r="O308" i="9"/>
  <c r="O181" i="9"/>
  <c r="L179" i="9"/>
  <c r="O179" i="9" s="1"/>
  <c r="L335" i="9"/>
  <c r="L333" i="9" s="1"/>
  <c r="L339" i="9"/>
  <c r="O339" i="9" s="1"/>
  <c r="P194" i="9"/>
  <c r="M192" i="9"/>
  <c r="P192" i="9" s="1"/>
  <c r="K371" i="9"/>
  <c r="N335" i="9"/>
  <c r="N333" i="9" s="1"/>
  <c r="L192" i="9"/>
  <c r="O192" i="9" s="1"/>
  <c r="O194" i="9"/>
  <c r="L127" i="8"/>
  <c r="O127" i="8" s="1"/>
  <c r="O364" i="9"/>
  <c r="K314" i="9"/>
  <c r="I302" i="9"/>
  <c r="K302" i="9" s="1"/>
  <c r="I241" i="9"/>
  <c r="K241" i="9" s="1"/>
  <c r="K252" i="9"/>
  <c r="N141" i="9"/>
  <c r="N139" i="9" s="1"/>
  <c r="L336" i="9"/>
  <c r="M61" i="9"/>
  <c r="M59" i="9" s="1"/>
  <c r="M46" i="9"/>
  <c r="M44" i="9" s="1"/>
  <c r="L268" i="9"/>
  <c r="O268" i="9" s="1"/>
  <c r="I221" i="9"/>
  <c r="K221" i="9" s="1"/>
  <c r="L222" i="9"/>
  <c r="O222" i="9" s="1"/>
  <c r="L78" i="9"/>
  <c r="O78" i="9" s="1"/>
  <c r="O52" i="9"/>
  <c r="O361" i="8"/>
  <c r="L234" i="8"/>
  <c r="K251" i="8"/>
  <c r="O165" i="8"/>
  <c r="O385" i="9"/>
  <c r="P364" i="9"/>
  <c r="K344" i="9"/>
  <c r="N322" i="9"/>
  <c r="N320" i="9" s="1"/>
  <c r="P290" i="9"/>
  <c r="L288" i="9"/>
  <c r="O288" i="9" s="1"/>
  <c r="N284" i="9"/>
  <c r="N282" i="9" s="1"/>
  <c r="P274" i="9"/>
  <c r="L269" i="9"/>
  <c r="O269" i="9" s="1"/>
  <c r="K260" i="9"/>
  <c r="I202" i="9"/>
  <c r="K202" i="9" s="1"/>
  <c r="K183" i="9"/>
  <c r="P147" i="9"/>
  <c r="M141" i="9"/>
  <c r="P133" i="9"/>
  <c r="N96" i="9"/>
  <c r="N94" i="9" s="1"/>
  <c r="M96" i="9"/>
  <c r="P96" i="9" s="1"/>
  <c r="O67" i="9"/>
  <c r="M284" i="8"/>
  <c r="P284" i="8" s="1"/>
  <c r="M96" i="8"/>
  <c r="P96" i="8" s="1"/>
  <c r="N380" i="9"/>
  <c r="K330" i="9"/>
  <c r="M322" i="9"/>
  <c r="M320" i="9" s="1"/>
  <c r="P320" i="9" s="1"/>
  <c r="N232" i="9"/>
  <c r="L141" i="9"/>
  <c r="O141" i="9" s="1"/>
  <c r="M62" i="9"/>
  <c r="P62" i="9" s="1"/>
  <c r="L359" i="9"/>
  <c r="O311" i="9"/>
  <c r="L305" i="9"/>
  <c r="M268" i="9"/>
  <c r="P268" i="9" s="1"/>
  <c r="L236" i="9"/>
  <c r="J231" i="9"/>
  <c r="J185" i="9" s="1"/>
  <c r="L203" i="9"/>
  <c r="O203" i="9" s="1"/>
  <c r="K195" i="9"/>
  <c r="O130" i="9"/>
  <c r="O102" i="9"/>
  <c r="L61" i="9"/>
  <c r="L59" i="9" s="1"/>
  <c r="P328" i="8"/>
  <c r="M379" i="9"/>
  <c r="M377" i="9" s="1"/>
  <c r="P377" i="9" s="1"/>
  <c r="P328" i="9"/>
  <c r="M305" i="9"/>
  <c r="P305" i="9" s="1"/>
  <c r="M188" i="9"/>
  <c r="M186" i="9" s="1"/>
  <c r="O189" i="9"/>
  <c r="P178" i="9"/>
  <c r="N127" i="9"/>
  <c r="N125" i="9" s="1"/>
  <c r="M127" i="9"/>
  <c r="M125" i="9" s="1"/>
  <c r="P125" i="9" s="1"/>
  <c r="M47" i="9"/>
  <c r="P47" i="9" s="1"/>
  <c r="M19" i="9"/>
  <c r="K154" i="8"/>
  <c r="K346" i="9"/>
  <c r="P308" i="9"/>
  <c r="K292" i="9"/>
  <c r="O271" i="9"/>
  <c r="L234" i="9"/>
  <c r="N188" i="9"/>
  <c r="N186" i="9" s="1"/>
  <c r="O144" i="9"/>
  <c r="N142" i="9"/>
  <c r="P99" i="9"/>
  <c r="O62" i="9"/>
  <c r="N19" i="9"/>
  <c r="I221" i="8"/>
  <c r="K221" i="8" s="1"/>
  <c r="K229" i="8"/>
  <c r="P334" i="9"/>
  <c r="M26" i="9"/>
  <c r="P26" i="9" s="1"/>
  <c r="P385" i="9"/>
  <c r="M383" i="9"/>
  <c r="P383" i="9" s="1"/>
  <c r="P357" i="9"/>
  <c r="L188" i="9"/>
  <c r="O191" i="9"/>
  <c r="P158" i="9"/>
  <c r="K260" i="8"/>
  <c r="I253" i="8"/>
  <c r="K253" i="8" s="1"/>
  <c r="P382" i="9"/>
  <c r="M380" i="9"/>
  <c r="P380" i="9" s="1"/>
  <c r="O338" i="9"/>
  <c r="P338" i="9"/>
  <c r="N336" i="9"/>
  <c r="K293" i="9"/>
  <c r="I280" i="9"/>
  <c r="K280" i="9" s="1"/>
  <c r="P283" i="9"/>
  <c r="L254" i="9"/>
  <c r="O254" i="9" s="1"/>
  <c r="P174" i="9"/>
  <c r="L131" i="8"/>
  <c r="O131" i="8" s="1"/>
  <c r="O133" i="8"/>
  <c r="O361" i="9"/>
  <c r="P361" i="9"/>
  <c r="N359" i="9"/>
  <c r="P359" i="9" s="1"/>
  <c r="J332" i="9"/>
  <c r="K332" i="9" s="1"/>
  <c r="N26" i="9"/>
  <c r="N24" i="9" s="1"/>
  <c r="O378" i="9"/>
  <c r="N358" i="9"/>
  <c r="N356" i="9" s="1"/>
  <c r="P19" i="9"/>
  <c r="I332" i="8"/>
  <c r="K344" i="8"/>
  <c r="O147" i="8"/>
  <c r="L145" i="8"/>
  <c r="O145" i="8" s="1"/>
  <c r="N305" i="9"/>
  <c r="N303" i="9" s="1"/>
  <c r="N306" i="9"/>
  <c r="N268" i="9"/>
  <c r="N266" i="9" s="1"/>
  <c r="N269" i="9"/>
  <c r="O19" i="9"/>
  <c r="L379" i="9"/>
  <c r="O379" i="9" s="1"/>
  <c r="M358" i="9"/>
  <c r="M335" i="9"/>
  <c r="O328" i="9"/>
  <c r="O325" i="9"/>
  <c r="P304" i="9"/>
  <c r="P287" i="9"/>
  <c r="M284" i="9"/>
  <c r="P284" i="9" s="1"/>
  <c r="P267" i="9"/>
  <c r="L243" i="9"/>
  <c r="I242" i="9"/>
  <c r="O178" i="9"/>
  <c r="N175" i="9"/>
  <c r="O162" i="9"/>
  <c r="N159" i="9"/>
  <c r="N157" i="9" s="1"/>
  <c r="O133" i="9"/>
  <c r="L127" i="9"/>
  <c r="O127" i="9" s="1"/>
  <c r="N97" i="9"/>
  <c r="L96" i="9"/>
  <c r="I82" i="9"/>
  <c r="O77" i="9"/>
  <c r="N74" i="9"/>
  <c r="N72" i="9" s="1"/>
  <c r="P60" i="9"/>
  <c r="N50" i="9"/>
  <c r="L23" i="9"/>
  <c r="L21" i="9" s="1"/>
  <c r="L47" i="9"/>
  <c r="O47" i="9" s="1"/>
  <c r="O22" i="9"/>
  <c r="K344" i="7"/>
  <c r="K371" i="8"/>
  <c r="L235" i="8"/>
  <c r="L284" i="9"/>
  <c r="K230" i="9"/>
  <c r="K198" i="9"/>
  <c r="P191" i="9"/>
  <c r="M175" i="9"/>
  <c r="M159" i="9"/>
  <c r="P159" i="9" s="1"/>
  <c r="I156" i="9"/>
  <c r="K156" i="9" s="1"/>
  <c r="M74" i="9"/>
  <c r="P74" i="9" s="1"/>
  <c r="L26" i="9"/>
  <c r="O26" i="9" s="1"/>
  <c r="M50" i="9"/>
  <c r="P50" i="9" s="1"/>
  <c r="O25" i="9"/>
  <c r="I238" i="9"/>
  <c r="K238" i="9" s="1"/>
  <c r="L159" i="9"/>
  <c r="O126" i="9"/>
  <c r="L74" i="9"/>
  <c r="N46" i="9"/>
  <c r="L322" i="9"/>
  <c r="O322" i="9" s="1"/>
  <c r="L285" i="9"/>
  <c r="O285" i="9" s="1"/>
  <c r="I213" i="9"/>
  <c r="K213" i="9" s="1"/>
  <c r="M176" i="9"/>
  <c r="P176" i="9" s="1"/>
  <c r="M160" i="9"/>
  <c r="P160" i="9" s="1"/>
  <c r="I83" i="9"/>
  <c r="M75" i="9"/>
  <c r="P75" i="9" s="1"/>
  <c r="P73" i="9"/>
  <c r="P64" i="9"/>
  <c r="N23" i="9"/>
  <c r="M179" i="9"/>
  <c r="P179" i="9" s="1"/>
  <c r="M163" i="9"/>
  <c r="P163" i="9" s="1"/>
  <c r="I136" i="9"/>
  <c r="K136" i="9" s="1"/>
  <c r="M78" i="9"/>
  <c r="P78" i="9" s="1"/>
  <c r="O64" i="9"/>
  <c r="N61" i="9"/>
  <c r="M23" i="9"/>
  <c r="P49" i="9"/>
  <c r="J351" i="8"/>
  <c r="L335" i="8"/>
  <c r="P162" i="8"/>
  <c r="O130" i="8"/>
  <c r="K108" i="8"/>
  <c r="N61" i="8"/>
  <c r="N59" i="8" s="1"/>
  <c r="P64" i="8"/>
  <c r="K198" i="8"/>
  <c r="O47" i="8"/>
  <c r="O308" i="8"/>
  <c r="P181" i="8"/>
  <c r="L179" i="8"/>
  <c r="O179" i="8" s="1"/>
  <c r="P80" i="8"/>
  <c r="P338" i="8"/>
  <c r="L214" i="8"/>
  <c r="O214" i="8" s="1"/>
  <c r="P361" i="8"/>
  <c r="M322" i="8"/>
  <c r="P322" i="8" s="1"/>
  <c r="K314" i="8"/>
  <c r="I202" i="8"/>
  <c r="K202" i="8" s="1"/>
  <c r="N188" i="8"/>
  <c r="N186" i="8" s="1"/>
  <c r="N159" i="8"/>
  <c r="N157" i="8" s="1"/>
  <c r="O144" i="8"/>
  <c r="L74" i="8"/>
  <c r="O74" i="8" s="1"/>
  <c r="O178" i="8"/>
  <c r="M127" i="8"/>
  <c r="P127" i="8" s="1"/>
  <c r="P102" i="8"/>
  <c r="L234" i="7"/>
  <c r="K346" i="8"/>
  <c r="K330" i="8"/>
  <c r="L272" i="8"/>
  <c r="O272" i="8" s="1"/>
  <c r="L236" i="8"/>
  <c r="P191" i="8"/>
  <c r="L159" i="8"/>
  <c r="O159" i="8" s="1"/>
  <c r="M141" i="8"/>
  <c r="M139" i="8" s="1"/>
  <c r="P139" i="8" s="1"/>
  <c r="L100" i="8"/>
  <c r="O100" i="8" s="1"/>
  <c r="P52" i="8"/>
  <c r="O49" i="8"/>
  <c r="N379" i="8"/>
  <c r="N377" i="8" s="1"/>
  <c r="P271" i="8"/>
  <c r="I83" i="8"/>
  <c r="K83" i="8" s="1"/>
  <c r="P77" i="8"/>
  <c r="K371" i="7"/>
  <c r="K369" i="7"/>
  <c r="O325" i="7"/>
  <c r="O47" i="7"/>
  <c r="M379" i="8"/>
  <c r="P379" i="8" s="1"/>
  <c r="L358" i="8"/>
  <c r="L356" i="8" s="1"/>
  <c r="J332" i="8"/>
  <c r="P325" i="8"/>
  <c r="M323" i="8"/>
  <c r="P323" i="8" s="1"/>
  <c r="K242" i="8"/>
  <c r="I238" i="8"/>
  <c r="K238" i="8" s="1"/>
  <c r="L222" i="8"/>
  <c r="O222" i="8" s="1"/>
  <c r="L175" i="8"/>
  <c r="O175" i="8" s="1"/>
  <c r="K169" i="8"/>
  <c r="L141" i="8"/>
  <c r="O141" i="8" s="1"/>
  <c r="N141" i="8"/>
  <c r="N139" i="8" s="1"/>
  <c r="N127" i="8"/>
  <c r="N125" i="8" s="1"/>
  <c r="L128" i="8"/>
  <c r="O128" i="8" s="1"/>
  <c r="P99" i="8"/>
  <c r="M97" i="8"/>
  <c r="P97" i="8" s="1"/>
  <c r="L78" i="8"/>
  <c r="O78" i="8" s="1"/>
  <c r="N46" i="8"/>
  <c r="N44" i="8" s="1"/>
  <c r="O22" i="8"/>
  <c r="I221" i="7"/>
  <c r="K221" i="7" s="1"/>
  <c r="L284" i="8"/>
  <c r="O284" i="8" s="1"/>
  <c r="N284" i="8"/>
  <c r="N282" i="8" s="1"/>
  <c r="M268" i="8"/>
  <c r="P268" i="8" s="1"/>
  <c r="I93" i="8"/>
  <c r="K93" i="8" s="1"/>
  <c r="P47" i="8"/>
  <c r="N19" i="8"/>
  <c r="L305" i="6"/>
  <c r="L303" i="6" s="1"/>
  <c r="O364" i="8"/>
  <c r="O341" i="8"/>
  <c r="O290" i="8"/>
  <c r="P178" i="8"/>
  <c r="O162" i="8"/>
  <c r="O77" i="8"/>
  <c r="O52" i="8"/>
  <c r="L46" i="8"/>
  <c r="L44" i="8" s="1"/>
  <c r="K365" i="8"/>
  <c r="L339" i="8"/>
  <c r="O339" i="8" s="1"/>
  <c r="M335" i="8"/>
  <c r="P311" i="8"/>
  <c r="P274" i="8"/>
  <c r="L243" i="8"/>
  <c r="O243" i="8" s="1"/>
  <c r="I241" i="8"/>
  <c r="K241" i="8" s="1"/>
  <c r="N160" i="8"/>
  <c r="N74" i="8"/>
  <c r="N72" i="8" s="1"/>
  <c r="L75" i="8"/>
  <c r="O75" i="8" s="1"/>
  <c r="N358" i="7"/>
  <c r="N356" i="7" s="1"/>
  <c r="N380" i="8"/>
  <c r="N335" i="8"/>
  <c r="N333" i="8" s="1"/>
  <c r="N305" i="8"/>
  <c r="N303" i="8" s="1"/>
  <c r="M305" i="8"/>
  <c r="M303" i="8" s="1"/>
  <c r="O287" i="8"/>
  <c r="N175" i="8"/>
  <c r="N173" i="8" s="1"/>
  <c r="N176" i="8"/>
  <c r="P165" i="8"/>
  <c r="L160" i="8"/>
  <c r="O160" i="8" s="1"/>
  <c r="P49" i="8"/>
  <c r="N358" i="8"/>
  <c r="N356" i="8" s="1"/>
  <c r="M306" i="8"/>
  <c r="P306" i="8" s="1"/>
  <c r="M383" i="8"/>
  <c r="P383" i="8" s="1"/>
  <c r="M380" i="8"/>
  <c r="P380" i="8" s="1"/>
  <c r="L379" i="8"/>
  <c r="O379" i="8" s="1"/>
  <c r="N359" i="8"/>
  <c r="O359" i="8" s="1"/>
  <c r="M358" i="8"/>
  <c r="N336" i="8"/>
  <c r="O336" i="8" s="1"/>
  <c r="N309" i="8"/>
  <c r="L306" i="8"/>
  <c r="O306" i="8" s="1"/>
  <c r="I281" i="8"/>
  <c r="K281" i="8" s="1"/>
  <c r="K292" i="8"/>
  <c r="L254" i="8"/>
  <c r="O254" i="8" s="1"/>
  <c r="O191" i="8"/>
  <c r="L189" i="8"/>
  <c r="O189" i="8" s="1"/>
  <c r="O64" i="8"/>
  <c r="L62" i="8"/>
  <c r="O62" i="8" s="1"/>
  <c r="L26" i="8"/>
  <c r="O26" i="8" s="1"/>
  <c r="M19" i="8"/>
  <c r="P22" i="8"/>
  <c r="L233" i="8"/>
  <c r="M189" i="8"/>
  <c r="P189" i="8" s="1"/>
  <c r="M62" i="8"/>
  <c r="P62" i="8" s="1"/>
  <c r="K365" i="7"/>
  <c r="J351" i="7"/>
  <c r="L188" i="7"/>
  <c r="L186" i="7" s="1"/>
  <c r="O133" i="7"/>
  <c r="P130" i="7"/>
  <c r="M61" i="7"/>
  <c r="M59" i="7" s="1"/>
  <c r="L383" i="8"/>
  <c r="O383" i="8" s="1"/>
  <c r="L380" i="8"/>
  <c r="O380" i="8" s="1"/>
  <c r="P378" i="8"/>
  <c r="M362" i="8"/>
  <c r="P362" i="8" s="1"/>
  <c r="M359" i="8"/>
  <c r="M339" i="8"/>
  <c r="P339" i="8" s="1"/>
  <c r="M336" i="8"/>
  <c r="O325" i="8"/>
  <c r="N322" i="8"/>
  <c r="N320" i="8" s="1"/>
  <c r="P290" i="8"/>
  <c r="L269" i="8"/>
  <c r="O269" i="8" s="1"/>
  <c r="N232" i="8"/>
  <c r="L203" i="8"/>
  <c r="O203" i="8" s="1"/>
  <c r="M188" i="8"/>
  <c r="I172" i="8"/>
  <c r="K172" i="8" s="1"/>
  <c r="P130" i="8"/>
  <c r="M128" i="8"/>
  <c r="P128" i="8" s="1"/>
  <c r="N128" i="8"/>
  <c r="L97" i="8"/>
  <c r="O97" i="8" s="1"/>
  <c r="M61" i="8"/>
  <c r="L326" i="8"/>
  <c r="O326" i="8" s="1"/>
  <c r="P147" i="8"/>
  <c r="M145" i="8"/>
  <c r="P145" i="8" s="1"/>
  <c r="M26" i="8"/>
  <c r="P26" i="8" s="1"/>
  <c r="P382" i="8"/>
  <c r="O378" i="8"/>
  <c r="P357" i="8"/>
  <c r="J343" i="8"/>
  <c r="O328" i="8"/>
  <c r="L309" i="8"/>
  <c r="O309" i="8" s="1"/>
  <c r="P287" i="8"/>
  <c r="M285" i="8"/>
  <c r="P285" i="8" s="1"/>
  <c r="L188" i="8"/>
  <c r="N26" i="8"/>
  <c r="N24" i="8" s="1"/>
  <c r="N65" i="8"/>
  <c r="L61" i="8"/>
  <c r="O19" i="8"/>
  <c r="P308" i="8"/>
  <c r="K293" i="8"/>
  <c r="L268" i="8"/>
  <c r="I213" i="8"/>
  <c r="K213" i="8" s="1"/>
  <c r="M192" i="8"/>
  <c r="P192" i="8" s="1"/>
  <c r="P144" i="8"/>
  <c r="M142" i="8"/>
  <c r="P142" i="8" s="1"/>
  <c r="P133" i="8"/>
  <c r="M131" i="8"/>
  <c r="P131" i="8" s="1"/>
  <c r="L96" i="8"/>
  <c r="M65" i="8"/>
  <c r="P65" i="8" s="1"/>
  <c r="N23" i="8"/>
  <c r="I138" i="7"/>
  <c r="K138" i="7" s="1"/>
  <c r="O338" i="8"/>
  <c r="L305" i="8"/>
  <c r="O194" i="8"/>
  <c r="L192" i="8"/>
  <c r="O192" i="8" s="1"/>
  <c r="P187" i="8"/>
  <c r="I137" i="8"/>
  <c r="K137" i="8" s="1"/>
  <c r="I82" i="8"/>
  <c r="O67" i="8"/>
  <c r="L65" i="8"/>
  <c r="O65" i="8" s="1"/>
  <c r="P60" i="8"/>
  <c r="O25" i="8"/>
  <c r="K249" i="8"/>
  <c r="K153" i="8"/>
  <c r="K85" i="8"/>
  <c r="M23" i="8"/>
  <c r="M21" i="8" s="1"/>
  <c r="N268" i="8"/>
  <c r="N266" i="8" s="1"/>
  <c r="M175" i="8"/>
  <c r="M159" i="8"/>
  <c r="N96" i="8"/>
  <c r="N94" i="8" s="1"/>
  <c r="M74" i="8"/>
  <c r="M46" i="8"/>
  <c r="L23" i="8"/>
  <c r="P338" i="7"/>
  <c r="N175" i="7"/>
  <c r="N173" i="7" s="1"/>
  <c r="P67" i="7"/>
  <c r="O64" i="7"/>
  <c r="L285" i="6"/>
  <c r="O285" i="6" s="1"/>
  <c r="I238" i="7"/>
  <c r="K238" i="7" s="1"/>
  <c r="P328" i="7"/>
  <c r="L305" i="7"/>
  <c r="O305" i="7" s="1"/>
  <c r="O271" i="7"/>
  <c r="K169" i="7"/>
  <c r="N74" i="7"/>
  <c r="N72" i="7" s="1"/>
  <c r="L50" i="7"/>
  <c r="O50" i="7" s="1"/>
  <c r="L284" i="7"/>
  <c r="O284" i="7" s="1"/>
  <c r="I202" i="7"/>
  <c r="K202" i="7" s="1"/>
  <c r="O194" i="7"/>
  <c r="I83" i="7"/>
  <c r="I71" i="7" s="1"/>
  <c r="K71" i="7" s="1"/>
  <c r="P271" i="6"/>
  <c r="K346" i="7"/>
  <c r="K330" i="7"/>
  <c r="O311" i="7"/>
  <c r="L203" i="7"/>
  <c r="O203" i="7" s="1"/>
  <c r="P181" i="7"/>
  <c r="P147" i="7"/>
  <c r="P144" i="7"/>
  <c r="P308" i="7"/>
  <c r="I302" i="7"/>
  <c r="K302" i="7" s="1"/>
  <c r="P189" i="7"/>
  <c r="N159" i="7"/>
  <c r="N157" i="7" s="1"/>
  <c r="N322" i="7"/>
  <c r="N320" i="7" s="1"/>
  <c r="L175" i="7"/>
  <c r="P341" i="6"/>
  <c r="P338" i="6"/>
  <c r="P361" i="7"/>
  <c r="J343" i="7"/>
  <c r="O328" i="7"/>
  <c r="M322" i="7"/>
  <c r="P322" i="7" s="1"/>
  <c r="P290" i="7"/>
  <c r="N284" i="7"/>
  <c r="N282" i="7" s="1"/>
  <c r="O274" i="7"/>
  <c r="L268" i="7"/>
  <c r="O268" i="7" s="1"/>
  <c r="L254" i="7"/>
  <c r="O254" i="7" s="1"/>
  <c r="M175" i="7"/>
  <c r="M173" i="7" s="1"/>
  <c r="O147" i="7"/>
  <c r="O130" i="7"/>
  <c r="I82" i="7"/>
  <c r="I70" i="7" s="1"/>
  <c r="K70" i="7" s="1"/>
  <c r="O67" i="7"/>
  <c r="L46" i="7"/>
  <c r="L44" i="7" s="1"/>
  <c r="O361" i="7"/>
  <c r="M284" i="7"/>
  <c r="P284" i="7" s="1"/>
  <c r="K260" i="7"/>
  <c r="K249" i="7"/>
  <c r="I136" i="7"/>
  <c r="K136" i="7" s="1"/>
  <c r="K109" i="7"/>
  <c r="K89" i="7"/>
  <c r="P52" i="7"/>
  <c r="P325" i="7"/>
  <c r="P271" i="7"/>
  <c r="N232" i="7"/>
  <c r="L159" i="7"/>
  <c r="O159" i="7" s="1"/>
  <c r="P133" i="7"/>
  <c r="M127" i="7"/>
  <c r="N61" i="7"/>
  <c r="N59" i="7" s="1"/>
  <c r="N19" i="7"/>
  <c r="L73" i="1"/>
  <c r="O73" i="1" s="1"/>
  <c r="P274" i="6"/>
  <c r="I253" i="6"/>
  <c r="K253" i="6" s="1"/>
  <c r="L234" i="6"/>
  <c r="N379" i="7"/>
  <c r="N377" i="7" s="1"/>
  <c r="K368" i="7"/>
  <c r="O338" i="7"/>
  <c r="L236" i="7"/>
  <c r="P165" i="7"/>
  <c r="L141" i="7"/>
  <c r="L139" i="7" s="1"/>
  <c r="O139" i="7" s="1"/>
  <c r="N127" i="7"/>
  <c r="N125" i="7" s="1"/>
  <c r="L96" i="7"/>
  <c r="O96" i="7" s="1"/>
  <c r="P49" i="7"/>
  <c r="O308" i="7"/>
  <c r="L235" i="7"/>
  <c r="I242" i="7"/>
  <c r="L214" i="7"/>
  <c r="O214" i="7" s="1"/>
  <c r="L189" i="7"/>
  <c r="O189" i="7" s="1"/>
  <c r="M159" i="7"/>
  <c r="P159" i="7" s="1"/>
  <c r="M141" i="7"/>
  <c r="P141" i="7" s="1"/>
  <c r="P140" i="7"/>
  <c r="L127" i="7"/>
  <c r="L125" i="7" s="1"/>
  <c r="O125" i="7" s="1"/>
  <c r="N96" i="7"/>
  <c r="N94" i="7" s="1"/>
  <c r="I92" i="7"/>
  <c r="K92" i="7" s="1"/>
  <c r="L61" i="7"/>
  <c r="M19" i="7"/>
  <c r="N335" i="7"/>
  <c r="N333" i="7" s="1"/>
  <c r="I281" i="7"/>
  <c r="K281" i="7" s="1"/>
  <c r="I172" i="7"/>
  <c r="K172" i="7" s="1"/>
  <c r="N160" i="7"/>
  <c r="M335" i="5"/>
  <c r="M333" i="5" s="1"/>
  <c r="K368" i="6"/>
  <c r="M383" i="7"/>
  <c r="P383" i="7" s="1"/>
  <c r="M380" i="7"/>
  <c r="P380" i="7" s="1"/>
  <c r="L379" i="7"/>
  <c r="O379" i="7" s="1"/>
  <c r="N359" i="7"/>
  <c r="M358" i="7"/>
  <c r="M335" i="7"/>
  <c r="M285" i="7"/>
  <c r="P285" i="7" s="1"/>
  <c r="L243" i="7"/>
  <c r="M176" i="7"/>
  <c r="M160" i="7"/>
  <c r="P160" i="7" s="1"/>
  <c r="N100" i="7"/>
  <c r="M97" i="7"/>
  <c r="P97" i="7" s="1"/>
  <c r="O80" i="7"/>
  <c r="L26" i="7"/>
  <c r="O26" i="7" s="1"/>
  <c r="L78" i="7"/>
  <c r="O78" i="7" s="1"/>
  <c r="N26" i="7"/>
  <c r="N24" i="7" s="1"/>
  <c r="P19" i="7"/>
  <c r="M379" i="7"/>
  <c r="N285" i="7"/>
  <c r="M74" i="7"/>
  <c r="P74" i="7" s="1"/>
  <c r="L383" i="7"/>
  <c r="O383" i="7" s="1"/>
  <c r="L380" i="7"/>
  <c r="O380" i="7" s="1"/>
  <c r="M362" i="7"/>
  <c r="P362" i="7" s="1"/>
  <c r="M359" i="7"/>
  <c r="L358" i="7"/>
  <c r="M339" i="7"/>
  <c r="P339" i="7" s="1"/>
  <c r="M336" i="7"/>
  <c r="P336" i="7" s="1"/>
  <c r="L335" i="7"/>
  <c r="J332" i="7"/>
  <c r="K332" i="7" s="1"/>
  <c r="L285" i="7"/>
  <c r="O285" i="7" s="1"/>
  <c r="I280" i="7"/>
  <c r="K280" i="7" s="1"/>
  <c r="L222" i="7"/>
  <c r="O222" i="7" s="1"/>
  <c r="I213" i="7"/>
  <c r="K213" i="7" s="1"/>
  <c r="I195" i="7"/>
  <c r="K195" i="7" s="1"/>
  <c r="P191" i="7"/>
  <c r="O178" i="7"/>
  <c r="L176" i="7"/>
  <c r="L160" i="7"/>
  <c r="O160" i="7" s="1"/>
  <c r="L142" i="7"/>
  <c r="O142" i="7" s="1"/>
  <c r="M100" i="7"/>
  <c r="P100" i="7" s="1"/>
  <c r="L97" i="7"/>
  <c r="O97" i="7" s="1"/>
  <c r="P77" i="7"/>
  <c r="O25" i="7"/>
  <c r="L305" i="1"/>
  <c r="N176" i="7"/>
  <c r="J351" i="6"/>
  <c r="K346" i="6"/>
  <c r="O325" i="6"/>
  <c r="P47" i="6"/>
  <c r="O378" i="7"/>
  <c r="L362" i="7"/>
  <c r="O362" i="7" s="1"/>
  <c r="L359" i="7"/>
  <c r="P357" i="7"/>
  <c r="L339" i="7"/>
  <c r="O339" i="7" s="1"/>
  <c r="L336" i="7"/>
  <c r="O336" i="7" s="1"/>
  <c r="P334" i="7"/>
  <c r="L322" i="7"/>
  <c r="O322" i="7" s="1"/>
  <c r="P311" i="7"/>
  <c r="N305" i="7"/>
  <c r="N303" i="7" s="1"/>
  <c r="P274" i="7"/>
  <c r="N268" i="7"/>
  <c r="N266" i="7" s="1"/>
  <c r="L233" i="7"/>
  <c r="P194" i="7"/>
  <c r="O191" i="7"/>
  <c r="N188" i="7"/>
  <c r="I137" i="7"/>
  <c r="K137" i="7" s="1"/>
  <c r="L100" i="7"/>
  <c r="O100" i="7" s="1"/>
  <c r="P60" i="7"/>
  <c r="P321" i="7"/>
  <c r="M305" i="7"/>
  <c r="L288" i="7"/>
  <c r="O288" i="7" s="1"/>
  <c r="M268" i="7"/>
  <c r="M188" i="7"/>
  <c r="L179" i="7"/>
  <c r="O179" i="7" s="1"/>
  <c r="L163" i="7"/>
  <c r="O163" i="7" s="1"/>
  <c r="P80" i="7"/>
  <c r="N62" i="7"/>
  <c r="O62" i="7" s="1"/>
  <c r="L284" i="6"/>
  <c r="O284" i="6" s="1"/>
  <c r="L203" i="6"/>
  <c r="O203" i="6" s="1"/>
  <c r="P67" i="6"/>
  <c r="P287" i="7"/>
  <c r="P178" i="7"/>
  <c r="P162" i="7"/>
  <c r="N141" i="7"/>
  <c r="N139" i="7" s="1"/>
  <c r="M96" i="7"/>
  <c r="L74" i="7"/>
  <c r="O74" i="7" s="1"/>
  <c r="O77" i="7"/>
  <c r="P64" i="7"/>
  <c r="M62" i="7"/>
  <c r="M26" i="7"/>
  <c r="P26" i="7" s="1"/>
  <c r="L19" i="7"/>
  <c r="O49" i="7"/>
  <c r="P25" i="7"/>
  <c r="N23" i="7"/>
  <c r="N46" i="7"/>
  <c r="N44" i="7" s="1"/>
  <c r="M23" i="7"/>
  <c r="M46" i="7"/>
  <c r="L23" i="7"/>
  <c r="P364" i="6"/>
  <c r="M159" i="6"/>
  <c r="P159" i="6" s="1"/>
  <c r="P102" i="6"/>
  <c r="K314" i="6"/>
  <c r="P328" i="6"/>
  <c r="N46" i="5"/>
  <c r="N44" i="5" s="1"/>
  <c r="J332" i="6"/>
  <c r="I202" i="6"/>
  <c r="K202" i="6" s="1"/>
  <c r="L159" i="6"/>
  <c r="N141" i="6"/>
  <c r="N139" i="6" s="1"/>
  <c r="N127" i="6"/>
  <c r="N125" i="6" s="1"/>
  <c r="O385" i="6"/>
  <c r="K220" i="6"/>
  <c r="P194" i="6"/>
  <c r="M96" i="6"/>
  <c r="P96" i="6" s="1"/>
  <c r="N74" i="6"/>
  <c r="N72" i="6" s="1"/>
  <c r="L50" i="6"/>
  <c r="O50" i="6" s="1"/>
  <c r="O52" i="6"/>
  <c r="K369" i="6"/>
  <c r="N284" i="6"/>
  <c r="N282" i="6" s="1"/>
  <c r="O382" i="6"/>
  <c r="N358" i="6"/>
  <c r="N356" i="6" s="1"/>
  <c r="M288" i="6"/>
  <c r="P288" i="6" s="1"/>
  <c r="I172" i="6"/>
  <c r="K172" i="6" s="1"/>
  <c r="N159" i="6"/>
  <c r="N157" i="6" s="1"/>
  <c r="L379" i="6"/>
  <c r="L377" i="6" s="1"/>
  <c r="O377" i="6" s="1"/>
  <c r="K330" i="6"/>
  <c r="K229" i="6"/>
  <c r="M188" i="6"/>
  <c r="M186" i="6" s="1"/>
  <c r="L163" i="6"/>
  <c r="O163" i="6" s="1"/>
  <c r="P382" i="6"/>
  <c r="M358" i="6"/>
  <c r="N322" i="6"/>
  <c r="N320" i="6" s="1"/>
  <c r="M305" i="6"/>
  <c r="M303" i="6" s="1"/>
  <c r="O290" i="6"/>
  <c r="M284" i="6"/>
  <c r="P284" i="6" s="1"/>
  <c r="O274" i="6"/>
  <c r="L254" i="6"/>
  <c r="O254" i="6" s="1"/>
  <c r="K221" i="6"/>
  <c r="L192" i="6"/>
  <c r="O192" i="6" s="1"/>
  <c r="N175" i="6"/>
  <c r="N173" i="6" s="1"/>
  <c r="I169" i="6"/>
  <c r="K169" i="6" s="1"/>
  <c r="O162" i="6"/>
  <c r="I156" i="6"/>
  <c r="K156" i="6" s="1"/>
  <c r="O130" i="6"/>
  <c r="N128" i="6"/>
  <c r="K109" i="6"/>
  <c r="P99" i="6"/>
  <c r="M97" i="6"/>
  <c r="P97" i="6" s="1"/>
  <c r="M61" i="6"/>
  <c r="M59" i="6" s="1"/>
  <c r="L46" i="6"/>
  <c r="L44" i="6" s="1"/>
  <c r="O22" i="6"/>
  <c r="L175" i="1"/>
  <c r="O361" i="6"/>
  <c r="M322" i="6"/>
  <c r="P322" i="6" s="1"/>
  <c r="P191" i="6"/>
  <c r="M189" i="6"/>
  <c r="P189" i="6" s="1"/>
  <c r="L175" i="6"/>
  <c r="L173" i="6" s="1"/>
  <c r="L160" i="6"/>
  <c r="O160" i="6" s="1"/>
  <c r="L74" i="6"/>
  <c r="L72" i="6" s="1"/>
  <c r="O72" i="6" s="1"/>
  <c r="O64" i="6"/>
  <c r="P385" i="6"/>
  <c r="N335" i="6"/>
  <c r="N333" i="6" s="1"/>
  <c r="L322" i="6"/>
  <c r="O322" i="6" s="1"/>
  <c r="L288" i="6"/>
  <c r="O288" i="6" s="1"/>
  <c r="N232" i="6"/>
  <c r="O181" i="6"/>
  <c r="I168" i="6"/>
  <c r="K168" i="6" s="1"/>
  <c r="K153" i="6"/>
  <c r="O144" i="6"/>
  <c r="N142" i="6"/>
  <c r="K108" i="6"/>
  <c r="O80" i="6"/>
  <c r="M379" i="6"/>
  <c r="M377" i="6" s="1"/>
  <c r="P377" i="6" s="1"/>
  <c r="K371" i="6"/>
  <c r="M335" i="6"/>
  <c r="P311" i="6"/>
  <c r="L268" i="6"/>
  <c r="L266" i="6" s="1"/>
  <c r="O266" i="6" s="1"/>
  <c r="L236" i="6"/>
  <c r="L222" i="6"/>
  <c r="O222" i="6" s="1"/>
  <c r="L214" i="6"/>
  <c r="O214" i="6" s="1"/>
  <c r="M141" i="6"/>
  <c r="P141" i="6" s="1"/>
  <c r="P361" i="6"/>
  <c r="N359" i="6"/>
  <c r="P359" i="6" s="1"/>
  <c r="K344" i="6"/>
  <c r="O338" i="6"/>
  <c r="O328" i="6"/>
  <c r="P308" i="6"/>
  <c r="P306" i="6"/>
  <c r="K292" i="6"/>
  <c r="M268" i="6"/>
  <c r="M266" i="6" s="1"/>
  <c r="P266" i="6" s="1"/>
  <c r="L235" i="6"/>
  <c r="O191" i="6"/>
  <c r="O178" i="6"/>
  <c r="L176" i="6"/>
  <c r="O176" i="6" s="1"/>
  <c r="O77" i="6"/>
  <c r="N75" i="6"/>
  <c r="P336" i="6"/>
  <c r="L358" i="6"/>
  <c r="L306" i="6"/>
  <c r="O306" i="6" s="1"/>
  <c r="I238" i="6"/>
  <c r="K238" i="6" s="1"/>
  <c r="M179" i="6"/>
  <c r="P179" i="6" s="1"/>
  <c r="P181" i="6"/>
  <c r="L145" i="6"/>
  <c r="O145" i="6" s="1"/>
  <c r="M131" i="6"/>
  <c r="P131" i="6" s="1"/>
  <c r="O126" i="6"/>
  <c r="M75" i="6"/>
  <c r="P75" i="6" s="1"/>
  <c r="P77" i="6"/>
  <c r="I365" i="6"/>
  <c r="K365" i="6" s="1"/>
  <c r="L362" i="6"/>
  <c r="O362" i="6" s="1"/>
  <c r="L359" i="6"/>
  <c r="J343" i="6"/>
  <c r="L339" i="6"/>
  <c r="O339" i="6" s="1"/>
  <c r="L309" i="6"/>
  <c r="O309" i="6" s="1"/>
  <c r="N188" i="6"/>
  <c r="M163" i="6"/>
  <c r="P163" i="6" s="1"/>
  <c r="P165" i="6"/>
  <c r="N163" i="6"/>
  <c r="L141" i="6"/>
  <c r="O141" i="6" s="1"/>
  <c r="L131" i="6"/>
  <c r="O131" i="6" s="1"/>
  <c r="M127" i="6"/>
  <c r="P60" i="6"/>
  <c r="L26" i="6"/>
  <c r="O26" i="6" s="1"/>
  <c r="P19" i="6"/>
  <c r="L269" i="6"/>
  <c r="O269" i="6" s="1"/>
  <c r="L243" i="6"/>
  <c r="L233" i="6"/>
  <c r="L188" i="6"/>
  <c r="M175" i="6"/>
  <c r="L127" i="6"/>
  <c r="O127" i="6" s="1"/>
  <c r="N96" i="6"/>
  <c r="N94" i="6" s="1"/>
  <c r="I83" i="6"/>
  <c r="M78" i="6"/>
  <c r="P78" i="6" s="1"/>
  <c r="P80" i="6"/>
  <c r="P385" i="4"/>
  <c r="N379" i="6"/>
  <c r="N377" i="6" s="1"/>
  <c r="L335" i="6"/>
  <c r="I332" i="6"/>
  <c r="M323" i="6"/>
  <c r="P323" i="6" s="1"/>
  <c r="O321" i="6"/>
  <c r="O308" i="6"/>
  <c r="N305" i="6"/>
  <c r="K293" i="6"/>
  <c r="P187" i="6"/>
  <c r="M142" i="6"/>
  <c r="P142" i="6" s="1"/>
  <c r="I136" i="6"/>
  <c r="K136" i="6" s="1"/>
  <c r="O99" i="6"/>
  <c r="L96" i="6"/>
  <c r="P64" i="6"/>
  <c r="N62" i="6"/>
  <c r="P62" i="6" s="1"/>
  <c r="O25" i="6"/>
  <c r="O385" i="5"/>
  <c r="P334" i="6"/>
  <c r="M285" i="6"/>
  <c r="P285" i="6" s="1"/>
  <c r="P283" i="6"/>
  <c r="I242" i="6"/>
  <c r="M176" i="6"/>
  <c r="P176" i="6" s="1"/>
  <c r="P178" i="6"/>
  <c r="M128" i="6"/>
  <c r="P128" i="6" s="1"/>
  <c r="M74" i="6"/>
  <c r="P74" i="6" s="1"/>
  <c r="O67" i="6"/>
  <c r="L65" i="6"/>
  <c r="O65" i="6" s="1"/>
  <c r="N61" i="6"/>
  <c r="N59" i="6" s="1"/>
  <c r="O47" i="6"/>
  <c r="L305" i="5"/>
  <c r="O305" i="5" s="1"/>
  <c r="L336" i="6"/>
  <c r="O336" i="6" s="1"/>
  <c r="N268" i="6"/>
  <c r="N266" i="6" s="1"/>
  <c r="K198" i="6"/>
  <c r="L189" i="6"/>
  <c r="O189" i="6" s="1"/>
  <c r="M160" i="6"/>
  <c r="P160" i="6" s="1"/>
  <c r="P162" i="6"/>
  <c r="K152" i="6"/>
  <c r="I137" i="6"/>
  <c r="K137" i="6" s="1"/>
  <c r="M145" i="6"/>
  <c r="P145" i="6" s="1"/>
  <c r="O140" i="6"/>
  <c r="O102" i="6"/>
  <c r="I82" i="6"/>
  <c r="N26" i="6"/>
  <c r="N24" i="6" s="1"/>
  <c r="M26" i="6"/>
  <c r="O19" i="6"/>
  <c r="P52" i="6"/>
  <c r="P49" i="6"/>
  <c r="L61" i="6"/>
  <c r="O49" i="6"/>
  <c r="N23" i="6"/>
  <c r="L62" i="6"/>
  <c r="N46" i="6"/>
  <c r="N44" i="6" s="1"/>
  <c r="M23" i="6"/>
  <c r="N50" i="6"/>
  <c r="M46" i="6"/>
  <c r="L23" i="6"/>
  <c r="P22" i="6"/>
  <c r="K368" i="5"/>
  <c r="I240" i="5"/>
  <c r="K240" i="5" s="1"/>
  <c r="O271" i="5"/>
  <c r="P385" i="5"/>
  <c r="O80" i="5"/>
  <c r="L46" i="5"/>
  <c r="L44" i="5" s="1"/>
  <c r="N379" i="5"/>
  <c r="N377" i="5" s="1"/>
  <c r="J351" i="5"/>
  <c r="P311" i="5"/>
  <c r="P191" i="5"/>
  <c r="K314" i="4"/>
  <c r="O323" i="5"/>
  <c r="L235" i="5"/>
  <c r="O191" i="5"/>
  <c r="L288" i="5"/>
  <c r="O288" i="5" s="1"/>
  <c r="L285" i="5"/>
  <c r="O285" i="5" s="1"/>
  <c r="L233" i="5"/>
  <c r="L50" i="5"/>
  <c r="O50" i="5" s="1"/>
  <c r="O52" i="5"/>
  <c r="K369" i="5"/>
  <c r="N284" i="5"/>
  <c r="N282" i="5" s="1"/>
  <c r="L214" i="5"/>
  <c r="O214" i="5" s="1"/>
  <c r="P181" i="5"/>
  <c r="P133" i="5"/>
  <c r="M131" i="5"/>
  <c r="P131" i="5" s="1"/>
  <c r="L128" i="5"/>
  <c r="O128" i="5" s="1"/>
  <c r="L127" i="5"/>
  <c r="O127" i="5" s="1"/>
  <c r="O359" i="5"/>
  <c r="M326" i="5"/>
  <c r="P326" i="5" s="1"/>
  <c r="K153" i="5"/>
  <c r="M100" i="5"/>
  <c r="P100" i="5" s="1"/>
  <c r="P102" i="5"/>
  <c r="P162" i="5"/>
  <c r="M160" i="5"/>
  <c r="P160" i="5" s="1"/>
  <c r="N380" i="5"/>
  <c r="J332" i="5"/>
  <c r="N335" i="5"/>
  <c r="N333" i="5" s="1"/>
  <c r="L322" i="5"/>
  <c r="L320" i="5" s="1"/>
  <c r="P323" i="5"/>
  <c r="L254" i="5"/>
  <c r="O254" i="5" s="1"/>
  <c r="K252" i="5"/>
  <c r="O181" i="5"/>
  <c r="L179" i="5"/>
  <c r="O179" i="5" s="1"/>
  <c r="M96" i="5"/>
  <c r="P96" i="5" s="1"/>
  <c r="M50" i="5"/>
  <c r="P50" i="5" s="1"/>
  <c r="N96" i="5"/>
  <c r="N94" i="5" s="1"/>
  <c r="L74" i="5"/>
  <c r="O74" i="5" s="1"/>
  <c r="N61" i="5"/>
  <c r="N59" i="5" s="1"/>
  <c r="M46" i="5"/>
  <c r="K346" i="4"/>
  <c r="P144" i="4"/>
  <c r="I281" i="5"/>
  <c r="K281" i="5" s="1"/>
  <c r="L236" i="5"/>
  <c r="L222" i="5"/>
  <c r="O222" i="5" s="1"/>
  <c r="O196" i="5"/>
  <c r="M175" i="5"/>
  <c r="P175" i="5" s="1"/>
  <c r="M176" i="5"/>
  <c r="P176" i="5" s="1"/>
  <c r="K138" i="5"/>
  <c r="M145" i="5"/>
  <c r="P145" i="5" s="1"/>
  <c r="O130" i="5"/>
  <c r="O77" i="5"/>
  <c r="M61" i="5"/>
  <c r="M47" i="5"/>
  <c r="L163" i="5"/>
  <c r="O163" i="5" s="1"/>
  <c r="P382" i="5"/>
  <c r="P364" i="5"/>
  <c r="O311" i="5"/>
  <c r="P274" i="5"/>
  <c r="L268" i="5"/>
  <c r="K229" i="5"/>
  <c r="M192" i="5"/>
  <c r="P192" i="5" s="1"/>
  <c r="L175" i="5"/>
  <c r="L176" i="5"/>
  <c r="O176" i="5" s="1"/>
  <c r="P165" i="5"/>
  <c r="O162" i="5"/>
  <c r="O144" i="5"/>
  <c r="N127" i="5"/>
  <c r="N125" i="5" s="1"/>
  <c r="M128" i="5"/>
  <c r="P128" i="5" s="1"/>
  <c r="L47" i="5"/>
  <c r="O382" i="5"/>
  <c r="O364" i="5"/>
  <c r="P341" i="5"/>
  <c r="O308" i="5"/>
  <c r="O274" i="5"/>
  <c r="I213" i="5"/>
  <c r="K213" i="5" s="1"/>
  <c r="L192" i="5"/>
  <c r="O192" i="5" s="1"/>
  <c r="M189" i="5"/>
  <c r="P189" i="5" s="1"/>
  <c r="N141" i="5"/>
  <c r="N139" i="5" s="1"/>
  <c r="N142" i="5"/>
  <c r="O142" i="5" s="1"/>
  <c r="P99" i="5"/>
  <c r="M74" i="5"/>
  <c r="P74" i="5" s="1"/>
  <c r="P67" i="5"/>
  <c r="N19" i="5"/>
  <c r="N358" i="5"/>
  <c r="P338" i="5"/>
  <c r="L306" i="5"/>
  <c r="O306" i="5" s="1"/>
  <c r="P290" i="5"/>
  <c r="L203" i="5"/>
  <c r="O203" i="5" s="1"/>
  <c r="L189" i="5"/>
  <c r="O189" i="5" s="1"/>
  <c r="M159" i="5"/>
  <c r="P159" i="5" s="1"/>
  <c r="P144" i="5"/>
  <c r="M142" i="5"/>
  <c r="K108" i="5"/>
  <c r="M97" i="5"/>
  <c r="P97" i="5" s="1"/>
  <c r="M19" i="5"/>
  <c r="N356" i="5"/>
  <c r="L335" i="5"/>
  <c r="K368" i="4"/>
  <c r="M358" i="5"/>
  <c r="O338" i="5"/>
  <c r="N336" i="5"/>
  <c r="P336" i="5" s="1"/>
  <c r="N285" i="5"/>
  <c r="K260" i="5"/>
  <c r="L159" i="5"/>
  <c r="L157" i="5" s="1"/>
  <c r="O157" i="5" s="1"/>
  <c r="M78" i="5"/>
  <c r="P78" i="5" s="1"/>
  <c r="L65" i="5"/>
  <c r="O65" i="5" s="1"/>
  <c r="N305" i="5"/>
  <c r="N303" i="5" s="1"/>
  <c r="N188" i="5"/>
  <c r="N186" i="5" s="1"/>
  <c r="N175" i="5"/>
  <c r="N173" i="5" s="1"/>
  <c r="I156" i="5"/>
  <c r="K156" i="5" s="1"/>
  <c r="O99" i="5"/>
  <c r="L26" i="5"/>
  <c r="O26" i="5" s="1"/>
  <c r="P19" i="5"/>
  <c r="I83" i="5"/>
  <c r="O165" i="4"/>
  <c r="O162" i="4"/>
  <c r="L141" i="4"/>
  <c r="L139" i="4" s="1"/>
  <c r="L46" i="4"/>
  <c r="L44" i="4" s="1"/>
  <c r="O341" i="5"/>
  <c r="P308" i="5"/>
  <c r="M305" i="5"/>
  <c r="P305" i="5" s="1"/>
  <c r="P287" i="5"/>
  <c r="N268" i="5"/>
  <c r="N266" i="5" s="1"/>
  <c r="I195" i="5"/>
  <c r="K195" i="5" s="1"/>
  <c r="L188" i="5"/>
  <c r="P174" i="5"/>
  <c r="O133" i="5"/>
  <c r="I82" i="5"/>
  <c r="O64" i="5"/>
  <c r="N47" i="5"/>
  <c r="N23" i="5"/>
  <c r="O49" i="5"/>
  <c r="M26" i="5"/>
  <c r="P26" i="5" s="1"/>
  <c r="M359" i="5"/>
  <c r="P359" i="5" s="1"/>
  <c r="I238" i="5"/>
  <c r="K238" i="5" s="1"/>
  <c r="K249" i="5"/>
  <c r="O290" i="4"/>
  <c r="O130" i="4"/>
  <c r="M379" i="5"/>
  <c r="P361" i="5"/>
  <c r="I319" i="5"/>
  <c r="K319" i="5" s="1"/>
  <c r="I302" i="5"/>
  <c r="K302" i="5" s="1"/>
  <c r="K314" i="5"/>
  <c r="P271" i="5"/>
  <c r="M268" i="5"/>
  <c r="P268" i="5" s="1"/>
  <c r="I202" i="5"/>
  <c r="K202" i="5" s="1"/>
  <c r="K209" i="5"/>
  <c r="N159" i="5"/>
  <c r="N157" i="5" s="1"/>
  <c r="O147" i="5"/>
  <c r="O102" i="5"/>
  <c r="P60" i="5"/>
  <c r="K344" i="5"/>
  <c r="I332" i="5"/>
  <c r="P267" i="5"/>
  <c r="L379" i="5"/>
  <c r="O379" i="5" s="1"/>
  <c r="K371" i="5"/>
  <c r="I365" i="5"/>
  <c r="K365" i="5" s="1"/>
  <c r="O361" i="5"/>
  <c r="L358" i="5"/>
  <c r="K346" i="5"/>
  <c r="M339" i="5"/>
  <c r="P339" i="5" s="1"/>
  <c r="L326" i="5"/>
  <c r="O326" i="5" s="1"/>
  <c r="N322" i="5"/>
  <c r="I280" i="5"/>
  <c r="K280" i="5" s="1"/>
  <c r="K293" i="5"/>
  <c r="L234" i="5"/>
  <c r="L243" i="5"/>
  <c r="I242" i="5"/>
  <c r="L141" i="5"/>
  <c r="M23" i="5"/>
  <c r="P64" i="5"/>
  <c r="N62" i="5"/>
  <c r="P62" i="5" s="1"/>
  <c r="P325" i="5"/>
  <c r="L234" i="4"/>
  <c r="J343" i="5"/>
  <c r="O325" i="5"/>
  <c r="P304" i="5"/>
  <c r="M284" i="5"/>
  <c r="P284" i="5" s="1"/>
  <c r="I172" i="5"/>
  <c r="K172" i="5" s="1"/>
  <c r="K152" i="5"/>
  <c r="I137" i="5"/>
  <c r="K137" i="5" s="1"/>
  <c r="L96" i="5"/>
  <c r="O96" i="5" s="1"/>
  <c r="N74" i="5"/>
  <c r="N72" i="5" s="1"/>
  <c r="N26" i="5"/>
  <c r="N24" i="5" s="1"/>
  <c r="N50" i="5"/>
  <c r="L19" i="5"/>
  <c r="M322" i="5"/>
  <c r="L284" i="5"/>
  <c r="O284" i="5" s="1"/>
  <c r="M188" i="5"/>
  <c r="M186" i="5" s="1"/>
  <c r="K154" i="5"/>
  <c r="I93" i="5"/>
  <c r="K93" i="5" s="1"/>
  <c r="P77" i="5"/>
  <c r="P49" i="5"/>
  <c r="M141" i="5"/>
  <c r="M127" i="5"/>
  <c r="L61" i="5"/>
  <c r="N243" i="5"/>
  <c r="N232" i="5" s="1"/>
  <c r="L23" i="5"/>
  <c r="L21" i="5" s="1"/>
  <c r="P22" i="5"/>
  <c r="M175" i="4"/>
  <c r="M173" i="4" s="1"/>
  <c r="M335" i="4"/>
  <c r="M333" i="4" s="1"/>
  <c r="I253" i="4"/>
  <c r="K253" i="4" s="1"/>
  <c r="L222" i="4"/>
  <c r="O222" i="4" s="1"/>
  <c r="K220" i="4"/>
  <c r="K330" i="4"/>
  <c r="O160" i="4"/>
  <c r="N284" i="4"/>
  <c r="N282" i="4" s="1"/>
  <c r="I92" i="4"/>
  <c r="K92" i="4" s="1"/>
  <c r="M188" i="4"/>
  <c r="M186" i="4" s="1"/>
  <c r="M96" i="4"/>
  <c r="P96" i="4" s="1"/>
  <c r="N335" i="3"/>
  <c r="N333" i="3" s="1"/>
  <c r="M379" i="4"/>
  <c r="P379" i="4" s="1"/>
  <c r="I241" i="4"/>
  <c r="K241" i="4" s="1"/>
  <c r="O189" i="4"/>
  <c r="M159" i="4"/>
  <c r="P159" i="4" s="1"/>
  <c r="L127" i="4"/>
  <c r="O127" i="4" s="1"/>
  <c r="L74" i="4"/>
  <c r="O74" i="4" s="1"/>
  <c r="O328" i="4"/>
  <c r="M326" i="4"/>
  <c r="P326" i="4" s="1"/>
  <c r="O287" i="4"/>
  <c r="K198" i="4"/>
  <c r="P194" i="4"/>
  <c r="P325" i="4"/>
  <c r="O194" i="4"/>
  <c r="O178" i="4"/>
  <c r="P102" i="4"/>
  <c r="O80" i="4"/>
  <c r="N46" i="4"/>
  <c r="L440" i="4"/>
  <c r="O440" i="4" s="1"/>
  <c r="L305" i="4"/>
  <c r="L303" i="4" s="1"/>
  <c r="L236" i="4"/>
  <c r="K209" i="4"/>
  <c r="M189" i="4"/>
  <c r="P189" i="4" s="1"/>
  <c r="N175" i="4"/>
  <c r="N173" i="4" s="1"/>
  <c r="P99" i="4"/>
  <c r="N127" i="4"/>
  <c r="N125" i="4" s="1"/>
  <c r="K369" i="4"/>
  <c r="N358" i="4"/>
  <c r="N356" i="4" s="1"/>
  <c r="J351" i="4"/>
  <c r="O338" i="4"/>
  <c r="K293" i="4"/>
  <c r="L254" i="4"/>
  <c r="O254" i="4" s="1"/>
  <c r="L203" i="4"/>
  <c r="O203" i="4" s="1"/>
  <c r="L188" i="4"/>
  <c r="L186" i="4" s="1"/>
  <c r="I169" i="4"/>
  <c r="K169" i="4" s="1"/>
  <c r="N159" i="4"/>
  <c r="N157" i="4" s="1"/>
  <c r="I156" i="4"/>
  <c r="K156" i="4" s="1"/>
  <c r="K109" i="4"/>
  <c r="O99" i="4"/>
  <c r="N74" i="4"/>
  <c r="N72" i="4" s="1"/>
  <c r="L75" i="4"/>
  <c r="O75" i="4" s="1"/>
  <c r="P67" i="4"/>
  <c r="O52" i="4"/>
  <c r="M358" i="4"/>
  <c r="M356" i="4" s="1"/>
  <c r="M322" i="4"/>
  <c r="M320" i="4" s="1"/>
  <c r="P320" i="4" s="1"/>
  <c r="L214" i="4"/>
  <c r="O214" i="4" s="1"/>
  <c r="L175" i="4"/>
  <c r="L173" i="4" s="1"/>
  <c r="O147" i="4"/>
  <c r="M97" i="4"/>
  <c r="P97" i="4" s="1"/>
  <c r="P64" i="4"/>
  <c r="N47" i="4"/>
  <c r="P47" i="4" s="1"/>
  <c r="M19" i="4"/>
  <c r="P19" i="4" s="1"/>
  <c r="P382" i="4"/>
  <c r="M380" i="4"/>
  <c r="P380" i="4" s="1"/>
  <c r="K371" i="4"/>
  <c r="O361" i="4"/>
  <c r="J343" i="4"/>
  <c r="L322" i="4"/>
  <c r="L320" i="4" s="1"/>
  <c r="O320" i="4" s="1"/>
  <c r="P308" i="4"/>
  <c r="M305" i="4"/>
  <c r="M303" i="4" s="1"/>
  <c r="I281" i="4"/>
  <c r="K281" i="4" s="1"/>
  <c r="P271" i="4"/>
  <c r="N268" i="4"/>
  <c r="N266" i="4" s="1"/>
  <c r="K213" i="4"/>
  <c r="O181" i="4"/>
  <c r="I168" i="4"/>
  <c r="K168" i="4" s="1"/>
  <c r="L159" i="4"/>
  <c r="K153" i="4"/>
  <c r="O144" i="4"/>
  <c r="L47" i="4"/>
  <c r="N335" i="4"/>
  <c r="N333" i="4" s="1"/>
  <c r="L235" i="4"/>
  <c r="O142" i="4"/>
  <c r="N336" i="4"/>
  <c r="N305" i="4"/>
  <c r="N303" i="4" s="1"/>
  <c r="L284" i="4"/>
  <c r="O284" i="4" s="1"/>
  <c r="M268" i="4"/>
  <c r="P268" i="4" s="1"/>
  <c r="I238" i="4"/>
  <c r="K238" i="4" s="1"/>
  <c r="N232" i="4"/>
  <c r="K229" i="4"/>
  <c r="N141" i="4"/>
  <c r="N96" i="4"/>
  <c r="N94" i="4" s="1"/>
  <c r="M61" i="4"/>
  <c r="L379" i="4"/>
  <c r="P361" i="3"/>
  <c r="L383" i="4"/>
  <c r="O383" i="4" s="1"/>
  <c r="L380" i="4"/>
  <c r="O380" i="4" s="1"/>
  <c r="M362" i="4"/>
  <c r="P362" i="4" s="1"/>
  <c r="M359" i="4"/>
  <c r="P359" i="4" s="1"/>
  <c r="L358" i="4"/>
  <c r="L356" i="4" s="1"/>
  <c r="M339" i="4"/>
  <c r="P339" i="4" s="1"/>
  <c r="M336" i="4"/>
  <c r="L335" i="4"/>
  <c r="J332" i="4"/>
  <c r="K332" i="4" s="1"/>
  <c r="L323" i="4"/>
  <c r="O323" i="4" s="1"/>
  <c r="N306" i="4"/>
  <c r="P306" i="4" s="1"/>
  <c r="N288" i="4"/>
  <c r="L243" i="4"/>
  <c r="L233" i="4"/>
  <c r="M142" i="4"/>
  <c r="P142" i="4" s="1"/>
  <c r="I136" i="4"/>
  <c r="K136" i="4" s="1"/>
  <c r="L96" i="4"/>
  <c r="M75" i="4"/>
  <c r="P75" i="4" s="1"/>
  <c r="P77" i="4"/>
  <c r="M74" i="4"/>
  <c r="P62" i="4"/>
  <c r="L272" i="4"/>
  <c r="O272" i="4" s="1"/>
  <c r="O361" i="3"/>
  <c r="O338" i="3"/>
  <c r="I365" i="4"/>
  <c r="K365" i="4" s="1"/>
  <c r="L362" i="4"/>
  <c r="O362" i="4" s="1"/>
  <c r="L359" i="4"/>
  <c r="O359" i="4" s="1"/>
  <c r="L339" i="4"/>
  <c r="O339" i="4" s="1"/>
  <c r="L336" i="4"/>
  <c r="P334" i="4"/>
  <c r="P311" i="4"/>
  <c r="L268" i="4"/>
  <c r="O268" i="4" s="1"/>
  <c r="I240" i="4"/>
  <c r="K240" i="4" s="1"/>
  <c r="M176" i="4"/>
  <c r="P178" i="4"/>
  <c r="N176" i="4"/>
  <c r="O176" i="4" s="1"/>
  <c r="O133" i="4"/>
  <c r="M128" i="4"/>
  <c r="P128" i="4" s="1"/>
  <c r="I82" i="4"/>
  <c r="N61" i="4"/>
  <c r="N59" i="4" s="1"/>
  <c r="N284" i="2"/>
  <c r="N282" i="2" s="1"/>
  <c r="O308" i="3"/>
  <c r="O191" i="3"/>
  <c r="P361" i="4"/>
  <c r="O357" i="4"/>
  <c r="P338" i="4"/>
  <c r="O334" i="4"/>
  <c r="O308" i="4"/>
  <c r="L306" i="4"/>
  <c r="O304" i="4"/>
  <c r="P287" i="4"/>
  <c r="P274" i="4"/>
  <c r="P267" i="4"/>
  <c r="I242" i="4"/>
  <c r="M160" i="4"/>
  <c r="P160" i="4" s="1"/>
  <c r="P162" i="4"/>
  <c r="K152" i="4"/>
  <c r="I137" i="4"/>
  <c r="K137" i="4" s="1"/>
  <c r="M145" i="4"/>
  <c r="P145" i="4" s="1"/>
  <c r="O140" i="4"/>
  <c r="O102" i="4"/>
  <c r="I83" i="4"/>
  <c r="O64" i="4"/>
  <c r="N26" i="4"/>
  <c r="N24" i="4" s="1"/>
  <c r="O25" i="4"/>
  <c r="O133" i="3"/>
  <c r="N379" i="4"/>
  <c r="N377" i="4" s="1"/>
  <c r="O325" i="4"/>
  <c r="N322" i="4"/>
  <c r="N320" i="4" s="1"/>
  <c r="P290" i="4"/>
  <c r="L269" i="4"/>
  <c r="O269" i="4" s="1"/>
  <c r="O267" i="4"/>
  <c r="P191" i="4"/>
  <c r="M179" i="4"/>
  <c r="P179" i="4" s="1"/>
  <c r="P181" i="4"/>
  <c r="I172" i="4"/>
  <c r="K172" i="4" s="1"/>
  <c r="L145" i="4"/>
  <c r="O145" i="4" s="1"/>
  <c r="M141" i="4"/>
  <c r="M131" i="4"/>
  <c r="P131" i="4" s="1"/>
  <c r="O126" i="4"/>
  <c r="K117" i="1"/>
  <c r="K198" i="3"/>
  <c r="K344" i="4"/>
  <c r="L309" i="4"/>
  <c r="O309" i="4" s="1"/>
  <c r="M284" i="4"/>
  <c r="O191" i="4"/>
  <c r="N188" i="4"/>
  <c r="N186" i="4" s="1"/>
  <c r="M163" i="4"/>
  <c r="P163" i="4" s="1"/>
  <c r="P165" i="4"/>
  <c r="M127" i="4"/>
  <c r="M78" i="4"/>
  <c r="P78" i="4" s="1"/>
  <c r="P80" i="4"/>
  <c r="O73" i="4"/>
  <c r="P60" i="4"/>
  <c r="L26" i="4"/>
  <c r="O26" i="4" s="1"/>
  <c r="M26" i="4"/>
  <c r="O19" i="4"/>
  <c r="P52" i="4"/>
  <c r="P49" i="4"/>
  <c r="O45" i="4"/>
  <c r="L61" i="4"/>
  <c r="O49" i="4"/>
  <c r="N23" i="4"/>
  <c r="L65" i="4"/>
  <c r="O65" i="4" s="1"/>
  <c r="L62" i="4"/>
  <c r="O62" i="4" s="1"/>
  <c r="M23" i="4"/>
  <c r="M46" i="4"/>
  <c r="L23" i="4"/>
  <c r="L21" i="4" s="1"/>
  <c r="P22" i="4"/>
  <c r="K314" i="3"/>
  <c r="L234" i="3"/>
  <c r="I221" i="3"/>
  <c r="K221" i="3" s="1"/>
  <c r="N379" i="3"/>
  <c r="N377" i="3" s="1"/>
  <c r="L127" i="3"/>
  <c r="O127" i="3" s="1"/>
  <c r="K330" i="3"/>
  <c r="P311" i="3"/>
  <c r="K249" i="3"/>
  <c r="I238" i="3"/>
  <c r="K238" i="3" s="1"/>
  <c r="K368" i="3"/>
  <c r="O311" i="3"/>
  <c r="K292" i="3"/>
  <c r="L254" i="3"/>
  <c r="O254" i="3" s="1"/>
  <c r="N159" i="3"/>
  <c r="N157" i="3" s="1"/>
  <c r="L160" i="3"/>
  <c r="O160" i="3" s="1"/>
  <c r="P147" i="3"/>
  <c r="O144" i="3"/>
  <c r="I83" i="3"/>
  <c r="K83" i="3" s="1"/>
  <c r="K344" i="3"/>
  <c r="N141" i="3"/>
  <c r="N139" i="3" s="1"/>
  <c r="O77" i="3"/>
  <c r="L75" i="3"/>
  <c r="O75" i="3" s="1"/>
  <c r="K369" i="2"/>
  <c r="L335" i="2"/>
  <c r="L333" i="2" s="1"/>
  <c r="N268" i="3"/>
  <c r="N266" i="3" s="1"/>
  <c r="K152" i="3"/>
  <c r="N175" i="3"/>
  <c r="N173" i="3" s="1"/>
  <c r="K369" i="3"/>
  <c r="K252" i="3"/>
  <c r="L128" i="3"/>
  <c r="O128" i="3" s="1"/>
  <c r="M61" i="3"/>
  <c r="M59" i="3" s="1"/>
  <c r="N46" i="3"/>
  <c r="N44" i="3" s="1"/>
  <c r="L78" i="3"/>
  <c r="O78" i="3" s="1"/>
  <c r="N74" i="3"/>
  <c r="N72" i="3" s="1"/>
  <c r="P67" i="3"/>
  <c r="M379" i="3"/>
  <c r="P379" i="3" s="1"/>
  <c r="J351" i="3"/>
  <c r="K346" i="3"/>
  <c r="M284" i="3"/>
  <c r="P284" i="3" s="1"/>
  <c r="M192" i="3"/>
  <c r="P192" i="3" s="1"/>
  <c r="M175" i="3"/>
  <c r="M159" i="3"/>
  <c r="M157" i="3" s="1"/>
  <c r="P157" i="3" s="1"/>
  <c r="I156" i="3"/>
  <c r="K156" i="3" s="1"/>
  <c r="N284" i="3"/>
  <c r="N282" i="3" s="1"/>
  <c r="L284" i="3"/>
  <c r="O284" i="3" s="1"/>
  <c r="I202" i="3"/>
  <c r="K202" i="3" s="1"/>
  <c r="O178" i="3"/>
  <c r="I82" i="3"/>
  <c r="K82" i="3" s="1"/>
  <c r="M74" i="3"/>
  <c r="M72" i="3" s="1"/>
  <c r="P72" i="3" s="1"/>
  <c r="L233" i="3"/>
  <c r="M96" i="1"/>
  <c r="L379" i="1"/>
  <c r="O379" i="1" s="1"/>
  <c r="P361" i="2"/>
  <c r="N358" i="3"/>
  <c r="N356" i="3" s="1"/>
  <c r="J332" i="3"/>
  <c r="K332" i="3" s="1"/>
  <c r="J343" i="3"/>
  <c r="L335" i="3"/>
  <c r="L333" i="3" s="1"/>
  <c r="N305" i="3"/>
  <c r="N303" i="3" s="1"/>
  <c r="L236" i="3"/>
  <c r="L222" i="3"/>
  <c r="O222" i="3" s="1"/>
  <c r="K220" i="3"/>
  <c r="K183" i="3"/>
  <c r="O147" i="3"/>
  <c r="L141" i="3"/>
  <c r="O141" i="3" s="1"/>
  <c r="P130" i="3"/>
  <c r="K108" i="3"/>
  <c r="O67" i="3"/>
  <c r="M50" i="3"/>
  <c r="P50" i="3" s="1"/>
  <c r="N47" i="3"/>
  <c r="O47" i="3" s="1"/>
  <c r="K371" i="3"/>
  <c r="M305" i="3"/>
  <c r="P305" i="3" s="1"/>
  <c r="P274" i="3"/>
  <c r="L235" i="3"/>
  <c r="L203" i="3"/>
  <c r="O203" i="3" s="1"/>
  <c r="M188" i="3"/>
  <c r="M186" i="3" s="1"/>
  <c r="K172" i="3"/>
  <c r="O130" i="3"/>
  <c r="M62" i="3"/>
  <c r="N128" i="1"/>
  <c r="N380" i="3"/>
  <c r="P325" i="3"/>
  <c r="N322" i="3"/>
  <c r="N320" i="3" s="1"/>
  <c r="L305" i="3"/>
  <c r="O305" i="3" s="1"/>
  <c r="N285" i="3"/>
  <c r="N269" i="3"/>
  <c r="K241" i="3"/>
  <c r="O194" i="3"/>
  <c r="M179" i="3"/>
  <c r="P179" i="3" s="1"/>
  <c r="N176" i="3"/>
  <c r="P176" i="3" s="1"/>
  <c r="M163" i="3"/>
  <c r="P163" i="3" s="1"/>
  <c r="N160" i="3"/>
  <c r="P144" i="3"/>
  <c r="P133" i="3"/>
  <c r="N127" i="3"/>
  <c r="N125" i="3" s="1"/>
  <c r="N128" i="3"/>
  <c r="N96" i="3"/>
  <c r="N94" i="3" s="1"/>
  <c r="M97" i="3"/>
  <c r="P97" i="3" s="1"/>
  <c r="M78" i="3"/>
  <c r="P78" i="3" s="1"/>
  <c r="M46" i="3"/>
  <c r="M44" i="3" s="1"/>
  <c r="K365" i="3"/>
  <c r="N358" i="1"/>
  <c r="P64" i="3"/>
  <c r="N62" i="3"/>
  <c r="M383" i="3"/>
  <c r="P383" i="3" s="1"/>
  <c r="M380" i="3"/>
  <c r="P380" i="3" s="1"/>
  <c r="L379" i="3"/>
  <c r="O379" i="3" s="1"/>
  <c r="N359" i="3"/>
  <c r="M358" i="3"/>
  <c r="M335" i="3"/>
  <c r="N336" i="3"/>
  <c r="L326" i="3"/>
  <c r="O326" i="3" s="1"/>
  <c r="M288" i="3"/>
  <c r="P288" i="3" s="1"/>
  <c r="L285" i="3"/>
  <c r="O285" i="3" s="1"/>
  <c r="L159" i="3"/>
  <c r="O159" i="3" s="1"/>
  <c r="O102" i="3"/>
  <c r="L100" i="3"/>
  <c r="O100" i="3" s="1"/>
  <c r="M96" i="3"/>
  <c r="P96" i="3" s="1"/>
  <c r="O271" i="3"/>
  <c r="L269" i="3"/>
  <c r="O269" i="3" s="1"/>
  <c r="N188" i="3"/>
  <c r="M26" i="3"/>
  <c r="P26" i="3" s="1"/>
  <c r="K368" i="2"/>
  <c r="P325" i="2"/>
  <c r="L383" i="3"/>
  <c r="O383" i="3" s="1"/>
  <c r="L380" i="3"/>
  <c r="O380" i="3" s="1"/>
  <c r="M362" i="3"/>
  <c r="P362" i="3" s="1"/>
  <c r="M359" i="3"/>
  <c r="L358" i="3"/>
  <c r="M339" i="3"/>
  <c r="P339" i="3" s="1"/>
  <c r="M336" i="3"/>
  <c r="M322" i="3"/>
  <c r="P322" i="3" s="1"/>
  <c r="L288" i="3"/>
  <c r="O288" i="3" s="1"/>
  <c r="L175" i="3"/>
  <c r="K109" i="3"/>
  <c r="I93" i="3"/>
  <c r="K93" i="3" s="1"/>
  <c r="O99" i="3"/>
  <c r="L97" i="3"/>
  <c r="O97" i="3" s="1"/>
  <c r="L96" i="3"/>
  <c r="O96" i="3" s="1"/>
  <c r="L23" i="3"/>
  <c r="L21" i="3" s="1"/>
  <c r="O49" i="3"/>
  <c r="L46" i="3"/>
  <c r="P25" i="3"/>
  <c r="L268" i="3"/>
  <c r="O268" i="3" s="1"/>
  <c r="L243" i="3"/>
  <c r="O178" i="2"/>
  <c r="P382" i="3"/>
  <c r="O378" i="3"/>
  <c r="L362" i="3"/>
  <c r="O362" i="3" s="1"/>
  <c r="L359" i="3"/>
  <c r="P357" i="3"/>
  <c r="L339" i="3"/>
  <c r="O339" i="3" s="1"/>
  <c r="L336" i="3"/>
  <c r="L322" i="3"/>
  <c r="M306" i="3"/>
  <c r="P306" i="3" s="1"/>
  <c r="O304" i="3"/>
  <c r="P287" i="3"/>
  <c r="O267" i="3"/>
  <c r="L214" i="3"/>
  <c r="O214" i="3" s="1"/>
  <c r="P191" i="3"/>
  <c r="N189" i="3"/>
  <c r="P189" i="3" s="1"/>
  <c r="N61" i="3"/>
  <c r="M19" i="3"/>
  <c r="M326" i="3"/>
  <c r="P326" i="3" s="1"/>
  <c r="M285" i="3"/>
  <c r="P285" i="3" s="1"/>
  <c r="O52" i="3"/>
  <c r="L26" i="3"/>
  <c r="O26" i="3" s="1"/>
  <c r="P338" i="3"/>
  <c r="P321" i="3"/>
  <c r="O287" i="3"/>
  <c r="M269" i="3"/>
  <c r="P269" i="3" s="1"/>
  <c r="I253" i="3"/>
  <c r="K253" i="3" s="1"/>
  <c r="K260" i="3"/>
  <c r="L163" i="3"/>
  <c r="O163" i="3" s="1"/>
  <c r="L74" i="3"/>
  <c r="O74" i="3" s="1"/>
  <c r="L19" i="3"/>
  <c r="M175" i="1"/>
  <c r="L323" i="3"/>
  <c r="O323" i="3" s="1"/>
  <c r="K293" i="3"/>
  <c r="O274" i="3"/>
  <c r="L272" i="3"/>
  <c r="O272" i="3" s="1"/>
  <c r="M268" i="3"/>
  <c r="K242" i="3"/>
  <c r="N232" i="3"/>
  <c r="L179" i="3"/>
  <c r="O179" i="3" s="1"/>
  <c r="M100" i="3"/>
  <c r="P100" i="3" s="1"/>
  <c r="O95" i="3"/>
  <c r="O64" i="3"/>
  <c r="L50" i="3"/>
  <c r="O50" i="3" s="1"/>
  <c r="N26" i="3"/>
  <c r="N24" i="3" s="1"/>
  <c r="K251" i="3"/>
  <c r="P178" i="3"/>
  <c r="O174" i="3"/>
  <c r="P162" i="3"/>
  <c r="O158" i="3"/>
  <c r="K154" i="3"/>
  <c r="P95" i="3"/>
  <c r="P77" i="3"/>
  <c r="O73" i="3"/>
  <c r="P49" i="3"/>
  <c r="O45" i="3"/>
  <c r="L188" i="3"/>
  <c r="M141" i="3"/>
  <c r="M127" i="3"/>
  <c r="L61" i="3"/>
  <c r="N23" i="3"/>
  <c r="K153" i="3"/>
  <c r="K85" i="3"/>
  <c r="M23" i="3"/>
  <c r="M21" i="3" s="1"/>
  <c r="N222" i="1"/>
  <c r="K238" i="1"/>
  <c r="I221" i="2"/>
  <c r="K221" i="2" s="1"/>
  <c r="L359" i="1"/>
  <c r="P385" i="2"/>
  <c r="P382" i="2"/>
  <c r="O361" i="2"/>
  <c r="J351" i="2"/>
  <c r="K346" i="2"/>
  <c r="N378" i="1"/>
  <c r="K292" i="2"/>
  <c r="P133" i="2"/>
  <c r="I92" i="2"/>
  <c r="K92" i="2" s="1"/>
  <c r="J343" i="2"/>
  <c r="P130" i="2"/>
  <c r="K368" i="1"/>
  <c r="N158" i="1"/>
  <c r="L358" i="2"/>
  <c r="L356" i="2" s="1"/>
  <c r="O341" i="2"/>
  <c r="L234" i="2"/>
  <c r="K220" i="2"/>
  <c r="O67" i="2"/>
  <c r="N61" i="2"/>
  <c r="N59" i="2" s="1"/>
  <c r="O364" i="2"/>
  <c r="O274" i="2"/>
  <c r="I240" i="2"/>
  <c r="K240" i="2" s="1"/>
  <c r="L203" i="2"/>
  <c r="O203" i="2" s="1"/>
  <c r="P194" i="2"/>
  <c r="K183" i="2"/>
  <c r="P147" i="2"/>
  <c r="L97" i="1"/>
  <c r="L126" i="1"/>
  <c r="O126" i="1" s="1"/>
  <c r="P287" i="1"/>
  <c r="K365" i="2"/>
  <c r="O338" i="2"/>
  <c r="L336" i="2"/>
  <c r="O336" i="2" s="1"/>
  <c r="K293" i="2"/>
  <c r="L254" i="2"/>
  <c r="O254" i="2" s="1"/>
  <c r="K249" i="2"/>
  <c r="K198" i="2"/>
  <c r="M179" i="2"/>
  <c r="P179" i="2" s="1"/>
  <c r="M163" i="2"/>
  <c r="P163" i="2" s="1"/>
  <c r="O144" i="2"/>
  <c r="L127" i="2"/>
  <c r="O127" i="2" s="1"/>
  <c r="L61" i="2"/>
  <c r="L59" i="2" s="1"/>
  <c r="O64" i="1"/>
  <c r="M188" i="2"/>
  <c r="M186" i="2" s="1"/>
  <c r="N74" i="2"/>
  <c r="N72" i="2" s="1"/>
  <c r="P77" i="1"/>
  <c r="K89" i="1"/>
  <c r="K228" i="1"/>
  <c r="P47" i="2"/>
  <c r="N159" i="2"/>
  <c r="N157" i="2" s="1"/>
  <c r="M65" i="2"/>
  <c r="P65" i="2" s="1"/>
  <c r="N65" i="1"/>
  <c r="M142" i="1"/>
  <c r="K296" i="1"/>
  <c r="P308" i="1"/>
  <c r="K315" i="1"/>
  <c r="O360" i="1"/>
  <c r="O359" i="2"/>
  <c r="K344" i="2"/>
  <c r="K314" i="2"/>
  <c r="O287" i="2"/>
  <c r="L233" i="2"/>
  <c r="I241" i="2"/>
  <c r="K241" i="2" s="1"/>
  <c r="K213" i="2"/>
  <c r="O191" i="2"/>
  <c r="M189" i="2"/>
  <c r="M159" i="2"/>
  <c r="P159" i="2" s="1"/>
  <c r="N141" i="2"/>
  <c r="N139" i="2" s="1"/>
  <c r="L131" i="2"/>
  <c r="O131" i="2" s="1"/>
  <c r="M78" i="2"/>
  <c r="P78" i="2" s="1"/>
  <c r="N75" i="2"/>
  <c r="O22" i="2"/>
  <c r="K229" i="1"/>
  <c r="M323" i="2"/>
  <c r="P323" i="2" s="1"/>
  <c r="I319" i="2"/>
  <c r="K319" i="2" s="1"/>
  <c r="N285" i="2"/>
  <c r="I202" i="2"/>
  <c r="K202" i="2" s="1"/>
  <c r="O162" i="2"/>
  <c r="P142" i="2"/>
  <c r="N96" i="2"/>
  <c r="N94" i="2" s="1"/>
  <c r="M97" i="2"/>
  <c r="P97" i="2" s="1"/>
  <c r="O64" i="2"/>
  <c r="M50" i="2"/>
  <c r="P50" i="2" s="1"/>
  <c r="K371" i="2"/>
  <c r="O308" i="2"/>
  <c r="M284" i="2"/>
  <c r="M285" i="2"/>
  <c r="P285" i="2" s="1"/>
  <c r="K152" i="2"/>
  <c r="O147" i="2"/>
  <c r="O142" i="2"/>
  <c r="O130" i="2"/>
  <c r="I83" i="2"/>
  <c r="K83" i="2" s="1"/>
  <c r="M74" i="2"/>
  <c r="P74" i="2" s="1"/>
  <c r="L75" i="2"/>
  <c r="O75" i="2" s="1"/>
  <c r="N46" i="2"/>
  <c r="N44" i="2" s="1"/>
  <c r="O325" i="2"/>
  <c r="N305" i="2"/>
  <c r="N303" i="2" s="1"/>
  <c r="M305" i="2"/>
  <c r="P305" i="2" s="1"/>
  <c r="P290" i="2"/>
  <c r="N127" i="2"/>
  <c r="N125" i="2" s="1"/>
  <c r="L128" i="2"/>
  <c r="O128" i="2" s="1"/>
  <c r="M61" i="2"/>
  <c r="M59" i="2" s="1"/>
  <c r="M46" i="2"/>
  <c r="M44" i="2" s="1"/>
  <c r="O47" i="2"/>
  <c r="L50" i="1"/>
  <c r="O50" i="1" s="1"/>
  <c r="J83" i="1"/>
  <c r="J71" i="1" s="1"/>
  <c r="L142" i="1"/>
  <c r="K151" i="1"/>
  <c r="N268" i="2"/>
  <c r="N266" i="2" s="1"/>
  <c r="M268" i="2"/>
  <c r="P268" i="2" s="1"/>
  <c r="L235" i="2"/>
  <c r="K195" i="2"/>
  <c r="O194" i="2"/>
  <c r="M175" i="2"/>
  <c r="M173" i="2" s="1"/>
  <c r="N160" i="2"/>
  <c r="O160" i="2" s="1"/>
  <c r="P144" i="2"/>
  <c r="N322" i="1"/>
  <c r="N320" i="1" s="1"/>
  <c r="N379" i="2"/>
  <c r="N377" i="2" s="1"/>
  <c r="L284" i="2"/>
  <c r="O284" i="2" s="1"/>
  <c r="K109" i="2"/>
  <c r="I93" i="2"/>
  <c r="K93" i="2" s="1"/>
  <c r="O99" i="2"/>
  <c r="L97" i="2"/>
  <c r="O97" i="2" s="1"/>
  <c r="L96" i="2"/>
  <c r="O96" i="2" s="1"/>
  <c r="O52" i="2"/>
  <c r="L26" i="2"/>
  <c r="M26" i="2"/>
  <c r="P26" i="2" s="1"/>
  <c r="L96" i="1"/>
  <c r="N179" i="1"/>
  <c r="L336" i="1"/>
  <c r="M379" i="2"/>
  <c r="P379" i="2" s="1"/>
  <c r="N358" i="2"/>
  <c r="N356" i="2" s="1"/>
  <c r="N335" i="2"/>
  <c r="J332" i="2"/>
  <c r="K332" i="2" s="1"/>
  <c r="M326" i="2"/>
  <c r="P326" i="2" s="1"/>
  <c r="M322" i="2"/>
  <c r="M320" i="2" s="1"/>
  <c r="I253" i="2"/>
  <c r="K253" i="2" s="1"/>
  <c r="K260" i="2"/>
  <c r="K172" i="2"/>
  <c r="L159" i="2"/>
  <c r="P99" i="1"/>
  <c r="L379" i="2"/>
  <c r="M358" i="2"/>
  <c r="M335" i="2"/>
  <c r="L326" i="2"/>
  <c r="O326" i="2" s="1"/>
  <c r="L322" i="2"/>
  <c r="M306" i="2"/>
  <c r="P306" i="2" s="1"/>
  <c r="O304" i="2"/>
  <c r="M272" i="2"/>
  <c r="P272" i="2" s="1"/>
  <c r="L268" i="2"/>
  <c r="O268" i="2" s="1"/>
  <c r="K230" i="2"/>
  <c r="L222" i="2"/>
  <c r="O222" i="2" s="1"/>
  <c r="L214" i="2"/>
  <c r="O214" i="2" s="1"/>
  <c r="P191" i="2"/>
  <c r="N189" i="2"/>
  <c r="L74" i="2"/>
  <c r="O74" i="2" s="1"/>
  <c r="L23" i="2"/>
  <c r="L21" i="2" s="1"/>
  <c r="O49" i="2"/>
  <c r="L46" i="2"/>
  <c r="P25" i="2"/>
  <c r="M97" i="1"/>
  <c r="L189" i="1"/>
  <c r="J351" i="1"/>
  <c r="N359" i="1"/>
  <c r="M362" i="1"/>
  <c r="P362" i="1" s="1"/>
  <c r="N379" i="1"/>
  <c r="L383" i="2"/>
  <c r="O383" i="2" s="1"/>
  <c r="L380" i="2"/>
  <c r="O380" i="2" s="1"/>
  <c r="P378" i="2"/>
  <c r="M362" i="2"/>
  <c r="P362" i="2" s="1"/>
  <c r="M359" i="2"/>
  <c r="P359" i="2" s="1"/>
  <c r="M339" i="2"/>
  <c r="P339" i="2" s="1"/>
  <c r="M336" i="2"/>
  <c r="P336" i="2" s="1"/>
  <c r="P334" i="2"/>
  <c r="O311" i="2"/>
  <c r="O290" i="2"/>
  <c r="O271" i="2"/>
  <c r="L236" i="2"/>
  <c r="L243" i="2"/>
  <c r="L179" i="2"/>
  <c r="O179" i="2" s="1"/>
  <c r="P176" i="2"/>
  <c r="I168" i="2"/>
  <c r="K168" i="2" s="1"/>
  <c r="I169" i="2"/>
  <c r="K169" i="2" s="1"/>
  <c r="I156" i="2"/>
  <c r="K156" i="2" s="1"/>
  <c r="M100" i="2"/>
  <c r="P100" i="2" s="1"/>
  <c r="O95" i="2"/>
  <c r="I82" i="2"/>
  <c r="M19" i="2"/>
  <c r="N322" i="2"/>
  <c r="N320" i="2" s="1"/>
  <c r="O321" i="2"/>
  <c r="L176" i="2"/>
  <c r="O176" i="2" s="1"/>
  <c r="L163" i="2"/>
  <c r="O163" i="2" s="1"/>
  <c r="K90" i="1"/>
  <c r="P144" i="1"/>
  <c r="L176" i="1"/>
  <c r="K198" i="1"/>
  <c r="K330" i="1"/>
  <c r="K371" i="1"/>
  <c r="P338" i="2"/>
  <c r="L323" i="2"/>
  <c r="O323" i="2" s="1"/>
  <c r="M309" i="2"/>
  <c r="P309" i="2" s="1"/>
  <c r="L305" i="2"/>
  <c r="O305" i="2" s="1"/>
  <c r="M269" i="2"/>
  <c r="P269" i="2" s="1"/>
  <c r="O267" i="2"/>
  <c r="K242" i="2"/>
  <c r="I238" i="2"/>
  <c r="K238" i="2" s="1"/>
  <c r="N188" i="2"/>
  <c r="N186" i="2" s="1"/>
  <c r="L175" i="2"/>
  <c r="L173" i="2" s="1"/>
  <c r="O102" i="2"/>
  <c r="L100" i="2"/>
  <c r="O100" i="2" s="1"/>
  <c r="M96" i="2"/>
  <c r="P96" i="2" s="1"/>
  <c r="L78" i="2"/>
  <c r="O78" i="2" s="1"/>
  <c r="P64" i="2"/>
  <c r="N62" i="2"/>
  <c r="L50" i="2"/>
  <c r="O50" i="2" s="1"/>
  <c r="N26" i="2"/>
  <c r="N24" i="2" s="1"/>
  <c r="P178" i="2"/>
  <c r="O174" i="2"/>
  <c r="P162" i="2"/>
  <c r="O158" i="2"/>
  <c r="K154" i="2"/>
  <c r="P95" i="2"/>
  <c r="P77" i="2"/>
  <c r="O73" i="2"/>
  <c r="P49" i="2"/>
  <c r="O45" i="2"/>
  <c r="L188" i="2"/>
  <c r="M141" i="2"/>
  <c r="M127" i="2"/>
  <c r="N23" i="2"/>
  <c r="N175" i="2"/>
  <c r="K153" i="2"/>
  <c r="L141" i="2"/>
  <c r="K85" i="2"/>
  <c r="M23" i="2"/>
  <c r="M21" i="2" s="1"/>
  <c r="K172" i="1"/>
  <c r="M288" i="1"/>
  <c r="P288" i="1" s="1"/>
  <c r="K295" i="1"/>
  <c r="K344" i="1"/>
  <c r="N26" i="1"/>
  <c r="O77" i="1"/>
  <c r="K88" i="1"/>
  <c r="O98" i="1"/>
  <c r="N126" i="1"/>
  <c r="N163" i="1"/>
  <c r="K183" i="1"/>
  <c r="I195" i="1"/>
  <c r="K195" i="1" s="1"/>
  <c r="N214" i="1"/>
  <c r="N285" i="1"/>
  <c r="N288" i="1"/>
  <c r="M326" i="1"/>
  <c r="P326" i="1" s="1"/>
  <c r="N362" i="1"/>
  <c r="O52" i="1"/>
  <c r="O99" i="1"/>
  <c r="K108" i="1"/>
  <c r="M128" i="1"/>
  <c r="P128" i="1" s="1"/>
  <c r="N192" i="1"/>
  <c r="O308" i="1"/>
  <c r="K346" i="1"/>
  <c r="I365" i="1"/>
  <c r="K365" i="1" s="1"/>
  <c r="K369" i="1"/>
  <c r="M192" i="1"/>
  <c r="P192" i="1" s="1"/>
  <c r="N22" i="1"/>
  <c r="N53" i="1"/>
  <c r="N61" i="1"/>
  <c r="N59" i="1" s="1"/>
  <c r="N142" i="1"/>
  <c r="M145" i="1"/>
  <c r="P145" i="1" s="1"/>
  <c r="L222" i="1"/>
  <c r="L288" i="1"/>
  <c r="O288" i="1" s="1"/>
  <c r="O143" i="1"/>
  <c r="L160" i="1"/>
  <c r="M189" i="1"/>
  <c r="L192" i="1"/>
  <c r="O192" i="1" s="1"/>
  <c r="L214" i="1"/>
  <c r="K219" i="1"/>
  <c r="L323" i="1"/>
  <c r="L339" i="1"/>
  <c r="O339" i="1" s="1"/>
  <c r="O66" i="1"/>
  <c r="L65" i="1"/>
  <c r="O65" i="1" s="1"/>
  <c r="N73" i="1"/>
  <c r="N75" i="1"/>
  <c r="K84" i="1"/>
  <c r="I82" i="1"/>
  <c r="M306" i="1"/>
  <c r="P341" i="1"/>
  <c r="M335" i="1"/>
  <c r="M163" i="1"/>
  <c r="P163" i="1" s="1"/>
  <c r="P164" i="1"/>
  <c r="J82" i="1"/>
  <c r="J70" i="1" s="1"/>
  <c r="M268" i="1"/>
  <c r="P268" i="1" s="1"/>
  <c r="P271" i="1"/>
  <c r="N272" i="1"/>
  <c r="N267" i="1"/>
  <c r="N266" i="1" s="1"/>
  <c r="O363" i="1"/>
  <c r="L362" i="1"/>
  <c r="O362" i="1" s="1"/>
  <c r="L357" i="1"/>
  <c r="O80" i="1"/>
  <c r="L74" i="1"/>
  <c r="M159" i="1"/>
  <c r="P159" i="1" s="1"/>
  <c r="P162" i="1"/>
  <c r="M174" i="1"/>
  <c r="L267" i="1"/>
  <c r="O267" i="1" s="1"/>
  <c r="P310" i="1"/>
  <c r="M309" i="1"/>
  <c r="P309" i="1" s="1"/>
  <c r="L326" i="1"/>
  <c r="O326" i="1" s="1"/>
  <c r="O327" i="1"/>
  <c r="M75" i="1"/>
  <c r="P76" i="1"/>
  <c r="M50" i="1"/>
  <c r="P50" i="1" s="1"/>
  <c r="P51" i="1"/>
  <c r="N25" i="1"/>
  <c r="N50" i="1"/>
  <c r="N97" i="1"/>
  <c r="N95" i="1"/>
  <c r="M100" i="1"/>
  <c r="P100" i="1" s="1"/>
  <c r="N175" i="1"/>
  <c r="P178" i="1"/>
  <c r="O287" i="1"/>
  <c r="L284" i="1"/>
  <c r="L29" i="1"/>
  <c r="O29" i="1" s="1"/>
  <c r="M23" i="1"/>
  <c r="L75" i="1"/>
  <c r="O76" i="1"/>
  <c r="N74" i="1"/>
  <c r="M141" i="1"/>
  <c r="N188" i="1"/>
  <c r="O191" i="1"/>
  <c r="M269" i="1"/>
  <c r="P269" i="1" s="1"/>
  <c r="N305" i="1"/>
  <c r="M267" i="1"/>
  <c r="M65" i="1"/>
  <c r="P65" i="1" s="1"/>
  <c r="K92" i="1"/>
  <c r="L23" i="1"/>
  <c r="N131" i="1"/>
  <c r="L145" i="1"/>
  <c r="O145" i="1" s="1"/>
  <c r="O177" i="1"/>
  <c r="I185" i="1"/>
  <c r="K185" i="1" s="1"/>
  <c r="O196" i="1"/>
  <c r="N269" i="1"/>
  <c r="M285" i="1"/>
  <c r="N284" i="1"/>
  <c r="P289" i="1"/>
  <c r="K292" i="1"/>
  <c r="L306" i="1"/>
  <c r="K316" i="1"/>
  <c r="O325" i="1"/>
  <c r="O337" i="1"/>
  <c r="M339" i="1"/>
  <c r="P339" i="1" s="1"/>
  <c r="N309" i="1"/>
  <c r="L158" i="1"/>
  <c r="O158" i="1" s="1"/>
  <c r="L179" i="1"/>
  <c r="O179" i="1" s="1"/>
  <c r="N189" i="1"/>
  <c r="N203" i="1"/>
  <c r="L232" i="1"/>
  <c r="M272" i="1"/>
  <c r="P272" i="1" s="1"/>
  <c r="M380" i="1"/>
  <c r="P380" i="1" s="1"/>
  <c r="N383" i="1"/>
  <c r="L334" i="1"/>
  <c r="N100" i="1"/>
  <c r="N141" i="1"/>
  <c r="L163" i="1"/>
  <c r="O163" i="1" s="1"/>
  <c r="O49" i="1"/>
  <c r="N96" i="1"/>
  <c r="N127" i="1"/>
  <c r="O144" i="1"/>
  <c r="N145" i="1"/>
  <c r="K150" i="1"/>
  <c r="N176" i="1"/>
  <c r="O178" i="1"/>
  <c r="N187" i="1"/>
  <c r="N232" i="1"/>
  <c r="P270" i="1"/>
  <c r="N306" i="1"/>
  <c r="K317" i="1"/>
  <c r="P340" i="1"/>
  <c r="J332" i="1"/>
  <c r="K332" i="1" s="1"/>
  <c r="N380" i="1"/>
  <c r="L141" i="1"/>
  <c r="M176" i="1"/>
  <c r="P191" i="1"/>
  <c r="J199" i="1"/>
  <c r="K220" i="1"/>
  <c r="L269" i="1"/>
  <c r="O269" i="1" s="1"/>
  <c r="M323" i="1"/>
  <c r="M357" i="1"/>
  <c r="M356" i="1" s="1"/>
  <c r="M359" i="1"/>
  <c r="L47" i="1"/>
  <c r="O48" i="1"/>
  <c r="L45" i="1"/>
  <c r="P338" i="1"/>
  <c r="O338" i="1"/>
  <c r="N335" i="1"/>
  <c r="L53" i="1"/>
  <c r="O53" i="1" s="1"/>
  <c r="O54" i="1"/>
  <c r="N160" i="1"/>
  <c r="N159" i="1"/>
  <c r="K167" i="1"/>
  <c r="I156" i="1"/>
  <c r="K156" i="1" s="1"/>
  <c r="I168" i="1"/>
  <c r="M336" i="1"/>
  <c r="M334" i="1"/>
  <c r="P337" i="1"/>
  <c r="L380" i="1"/>
  <c r="O380" i="1" s="1"/>
  <c r="L378" i="1"/>
  <c r="O381" i="1"/>
  <c r="M160" i="1"/>
  <c r="P160" i="1" s="1"/>
  <c r="M158" i="1"/>
  <c r="P161" i="1"/>
  <c r="O130" i="1"/>
  <c r="L127" i="1"/>
  <c r="O127" i="1" s="1"/>
  <c r="M26" i="1"/>
  <c r="P26" i="1" s="1"/>
  <c r="P80" i="1"/>
  <c r="P49" i="1"/>
  <c r="M46" i="1"/>
  <c r="P46" i="1" s="1"/>
  <c r="P133" i="1"/>
  <c r="M131" i="1"/>
  <c r="P131" i="1" s="1"/>
  <c r="M127" i="1"/>
  <c r="P127" i="1" s="1"/>
  <c r="P64" i="1"/>
  <c r="M61" i="1"/>
  <c r="L28" i="1"/>
  <c r="L22" i="1"/>
  <c r="M29" i="1"/>
  <c r="P29" i="1" s="1"/>
  <c r="P55" i="1"/>
  <c r="O63" i="1"/>
  <c r="L60" i="1"/>
  <c r="L62" i="1"/>
  <c r="M74" i="1"/>
  <c r="L25" i="1"/>
  <c r="L78" i="1"/>
  <c r="O78" i="1" s="1"/>
  <c r="O79" i="1"/>
  <c r="L100" i="1"/>
  <c r="O100" i="1" s="1"/>
  <c r="O101" i="1"/>
  <c r="L95" i="1"/>
  <c r="K109" i="1"/>
  <c r="J93" i="1"/>
  <c r="K93" i="1" s="1"/>
  <c r="K293" i="1"/>
  <c r="J280" i="1"/>
  <c r="K280" i="1" s="1"/>
  <c r="L131" i="1"/>
  <c r="O131" i="1" s="1"/>
  <c r="O132" i="1"/>
  <c r="L188" i="1"/>
  <c r="N336" i="1"/>
  <c r="M22" i="1"/>
  <c r="N23" i="1"/>
  <c r="M28" i="1"/>
  <c r="N29" i="1"/>
  <c r="N27" i="1" s="1"/>
  <c r="L46" i="1"/>
  <c r="O46" i="1" s="1"/>
  <c r="M47" i="1"/>
  <c r="M53" i="1"/>
  <c r="P53" i="1" s="1"/>
  <c r="L61" i="1"/>
  <c r="M62" i="1"/>
  <c r="M78" i="1"/>
  <c r="P78" i="1" s="1"/>
  <c r="P98" i="1"/>
  <c r="M95" i="1"/>
  <c r="L128" i="1"/>
  <c r="O128" i="1" s="1"/>
  <c r="L174" i="1"/>
  <c r="K202" i="1"/>
  <c r="L268" i="1"/>
  <c r="O268" i="1" s="1"/>
  <c r="L272" i="1"/>
  <c r="O272" i="1" s="1"/>
  <c r="L285" i="1"/>
  <c r="N304" i="1"/>
  <c r="P325" i="1"/>
  <c r="N326" i="1"/>
  <c r="P360" i="1"/>
  <c r="M379" i="1"/>
  <c r="P379" i="1" s="1"/>
  <c r="I83" i="1"/>
  <c r="K153" i="1"/>
  <c r="I138" i="1"/>
  <c r="K138" i="1" s="1"/>
  <c r="L26" i="1"/>
  <c r="O26" i="1" s="1"/>
  <c r="N47" i="1"/>
  <c r="N62" i="1"/>
  <c r="N78" i="1"/>
  <c r="K154" i="1"/>
  <c r="I136" i="1"/>
  <c r="K136" i="1" s="1"/>
  <c r="M179" i="1"/>
  <c r="P179" i="1" s="1"/>
  <c r="N283" i="1"/>
  <c r="I302" i="1"/>
  <c r="K302" i="1" s="1"/>
  <c r="K314" i="1"/>
  <c r="M321" i="1"/>
  <c r="O384" i="1"/>
  <c r="L383" i="1"/>
  <c r="O383" i="1" s="1"/>
  <c r="M73" i="1"/>
  <c r="M45" i="1"/>
  <c r="O140" i="1"/>
  <c r="O162" i="1"/>
  <c r="O194" i="1"/>
  <c r="O271" i="1"/>
  <c r="L309" i="1"/>
  <c r="O309" i="1" s="1"/>
  <c r="P327" i="1"/>
  <c r="J343" i="1"/>
  <c r="M60" i="1"/>
  <c r="M25" i="1"/>
  <c r="N140" i="1"/>
  <c r="K152" i="1"/>
  <c r="I137" i="1"/>
  <c r="K137" i="1" s="1"/>
  <c r="L203" i="1"/>
  <c r="K209" i="1"/>
  <c r="I213" i="1"/>
  <c r="K213" i="1" s="1"/>
  <c r="K221" i="1"/>
  <c r="K281" i="1"/>
  <c r="I319" i="1"/>
  <c r="K319" i="1" s="1"/>
  <c r="N323" i="1"/>
  <c r="N339" i="1"/>
  <c r="P361" i="1"/>
  <c r="O361" i="1"/>
  <c r="P363" i="1"/>
  <c r="O146" i="1"/>
  <c r="L159" i="1"/>
  <c r="P180" i="1"/>
  <c r="L187" i="1"/>
  <c r="M188" i="1"/>
  <c r="O190" i="1"/>
  <c r="O273" i="1"/>
  <c r="L283" i="1"/>
  <c r="M284" i="1"/>
  <c r="O286" i="1"/>
  <c r="L304" i="1"/>
  <c r="M305" i="1"/>
  <c r="O307" i="1"/>
  <c r="L322" i="1"/>
  <c r="N334" i="1"/>
  <c r="N357" i="1"/>
  <c r="M378" i="1"/>
  <c r="M187" i="1"/>
  <c r="M283" i="1"/>
  <c r="M304" i="1"/>
  <c r="L321" i="1"/>
  <c r="M322" i="1"/>
  <c r="M383" i="1"/>
  <c r="P383" i="1" s="1"/>
  <c r="M126" i="1"/>
  <c r="M140" i="1"/>
  <c r="P74" i="18" l="1"/>
  <c r="M303" i="22"/>
  <c r="P303" i="22" s="1"/>
  <c r="L72" i="22"/>
  <c r="O72" i="22" s="1"/>
  <c r="P358" i="22"/>
  <c r="P176" i="22"/>
  <c r="P175" i="22"/>
  <c r="M72" i="22"/>
  <c r="P72" i="22" s="1"/>
  <c r="O282" i="21"/>
  <c r="M282" i="22"/>
  <c r="P282" i="22" s="1"/>
  <c r="P335" i="22"/>
  <c r="P188" i="21"/>
  <c r="O359" i="22"/>
  <c r="L377" i="22"/>
  <c r="O377" i="22" s="1"/>
  <c r="L303" i="22"/>
  <c r="O303" i="22" s="1"/>
  <c r="P336" i="22"/>
  <c r="M94" i="22"/>
  <c r="P94" i="22" s="1"/>
  <c r="M377" i="21"/>
  <c r="P377" i="21" s="1"/>
  <c r="L125" i="22"/>
  <c r="O125" i="22" s="1"/>
  <c r="P186" i="22"/>
  <c r="O336" i="22"/>
  <c r="O159" i="21"/>
  <c r="P61" i="21"/>
  <c r="P59" i="22"/>
  <c r="I71" i="22"/>
  <c r="K71" i="22" s="1"/>
  <c r="P61" i="22"/>
  <c r="N40" i="22"/>
  <c r="O188" i="21"/>
  <c r="P268" i="22"/>
  <c r="M72" i="21"/>
  <c r="P72" i="21" s="1"/>
  <c r="P173" i="22"/>
  <c r="M320" i="22"/>
  <c r="P320" i="22" s="1"/>
  <c r="I231" i="21"/>
  <c r="K231" i="21" s="1"/>
  <c r="L266" i="22"/>
  <c r="O266" i="22" s="1"/>
  <c r="O176" i="22"/>
  <c r="O47" i="20"/>
  <c r="P359" i="22"/>
  <c r="L94" i="21"/>
  <c r="O94" i="21" s="1"/>
  <c r="O46" i="22"/>
  <c r="L320" i="22"/>
  <c r="O320" i="22" s="1"/>
  <c r="M20" i="22"/>
  <c r="P23" i="22"/>
  <c r="O188" i="17"/>
  <c r="P303" i="21"/>
  <c r="M21" i="22"/>
  <c r="O96" i="22"/>
  <c r="L94" i="22"/>
  <c r="O94" i="22" s="1"/>
  <c r="L232" i="22"/>
  <c r="O243" i="22"/>
  <c r="M377" i="22"/>
  <c r="P377" i="22" s="1"/>
  <c r="P379" i="22"/>
  <c r="L157" i="22"/>
  <c r="O157" i="22" s="1"/>
  <c r="O159" i="22"/>
  <c r="L139" i="22"/>
  <c r="O139" i="22" s="1"/>
  <c r="O61" i="22"/>
  <c r="L59" i="22"/>
  <c r="O59" i="22" s="1"/>
  <c r="L24" i="22"/>
  <c r="O24" i="22" s="1"/>
  <c r="O358" i="22"/>
  <c r="L356" i="22"/>
  <c r="O356" i="22" s="1"/>
  <c r="M125" i="21"/>
  <c r="P125" i="21" s="1"/>
  <c r="P127" i="22"/>
  <c r="M125" i="22"/>
  <c r="P125" i="22" s="1"/>
  <c r="O44" i="22"/>
  <c r="M333" i="22"/>
  <c r="P333" i="22" s="1"/>
  <c r="M157" i="22"/>
  <c r="P157" i="22" s="1"/>
  <c r="P333" i="21"/>
  <c r="L20" i="22"/>
  <c r="L18" i="22" s="1"/>
  <c r="O23" i="22"/>
  <c r="N20" i="22"/>
  <c r="N18" i="22" s="1"/>
  <c r="N21" i="22"/>
  <c r="O21" i="22" s="1"/>
  <c r="O188" i="22"/>
  <c r="L186" i="22"/>
  <c r="O186" i="22" s="1"/>
  <c r="I70" i="22"/>
  <c r="K70" i="22" s="1"/>
  <c r="K82" i="22"/>
  <c r="O175" i="22"/>
  <c r="L173" i="22"/>
  <c r="O173" i="22" s="1"/>
  <c r="P188" i="22"/>
  <c r="M24" i="22"/>
  <c r="P24" i="22" s="1"/>
  <c r="P26" i="22"/>
  <c r="I231" i="22"/>
  <c r="K242" i="22"/>
  <c r="L72" i="21"/>
  <c r="O72" i="21" s="1"/>
  <c r="P189" i="21"/>
  <c r="M44" i="22"/>
  <c r="P46" i="22"/>
  <c r="O19" i="22"/>
  <c r="L282" i="22"/>
  <c r="O282" i="22" s="1"/>
  <c r="O284" i="22"/>
  <c r="P141" i="22"/>
  <c r="M139" i="22"/>
  <c r="P139" i="22" s="1"/>
  <c r="O335" i="22"/>
  <c r="L333" i="22"/>
  <c r="O333" i="22" s="1"/>
  <c r="M356" i="22"/>
  <c r="P356" i="22" s="1"/>
  <c r="O333" i="21"/>
  <c r="O175" i="21"/>
  <c r="L24" i="21"/>
  <c r="O24" i="21" s="1"/>
  <c r="M139" i="21"/>
  <c r="P139" i="21" s="1"/>
  <c r="P358" i="21"/>
  <c r="M377" i="20"/>
  <c r="P377" i="20" s="1"/>
  <c r="L232" i="21"/>
  <c r="M94" i="20"/>
  <c r="P94" i="20" s="1"/>
  <c r="L139" i="20"/>
  <c r="O139" i="20" s="1"/>
  <c r="P305" i="21"/>
  <c r="N173" i="21"/>
  <c r="O173" i="21" s="1"/>
  <c r="L157" i="21"/>
  <c r="O157" i="21" s="1"/>
  <c r="P322" i="21"/>
  <c r="O358" i="21"/>
  <c r="P46" i="20"/>
  <c r="P175" i="21"/>
  <c r="M157" i="21"/>
  <c r="P157" i="21" s="1"/>
  <c r="P333" i="20"/>
  <c r="P96" i="21"/>
  <c r="M59" i="21"/>
  <c r="P59" i="21" s="1"/>
  <c r="P358" i="19"/>
  <c r="M320" i="20"/>
  <c r="P320" i="20" s="1"/>
  <c r="L320" i="21"/>
  <c r="O320" i="21" s="1"/>
  <c r="L139" i="21"/>
  <c r="O139" i="21" s="1"/>
  <c r="M266" i="21"/>
  <c r="P266" i="21" s="1"/>
  <c r="M356" i="21"/>
  <c r="N186" i="21"/>
  <c r="O186" i="21" s="1"/>
  <c r="O284" i="21"/>
  <c r="M24" i="21"/>
  <c r="P24" i="21" s="1"/>
  <c r="O305" i="21"/>
  <c r="M266" i="20"/>
  <c r="P266" i="20" s="1"/>
  <c r="K242" i="21"/>
  <c r="N356" i="21"/>
  <c r="O356" i="21" s="1"/>
  <c r="P284" i="21"/>
  <c r="O268" i="21"/>
  <c r="L266" i="21"/>
  <c r="O266" i="21" s="1"/>
  <c r="N20" i="21"/>
  <c r="N18" i="21" s="1"/>
  <c r="N21" i="21"/>
  <c r="M20" i="21"/>
  <c r="P23" i="21"/>
  <c r="O303" i="21"/>
  <c r="L377" i="21"/>
  <c r="O377" i="21" s="1"/>
  <c r="O335" i="21"/>
  <c r="O62" i="21"/>
  <c r="O61" i="21"/>
  <c r="L59" i="21"/>
  <c r="O59" i="21" s="1"/>
  <c r="O46" i="21"/>
  <c r="P46" i="21"/>
  <c r="P335" i="21"/>
  <c r="O359" i="21"/>
  <c r="P359" i="21"/>
  <c r="O335" i="20"/>
  <c r="P305" i="20"/>
  <c r="L377" i="20"/>
  <c r="O377" i="20" s="1"/>
  <c r="O173" i="20"/>
  <c r="P62" i="20"/>
  <c r="O46" i="20"/>
  <c r="M21" i="21"/>
  <c r="O44" i="21"/>
  <c r="L125" i="21"/>
  <c r="O125" i="21" s="1"/>
  <c r="K83" i="21"/>
  <c r="I71" i="21"/>
  <c r="K71" i="21" s="1"/>
  <c r="O306" i="21"/>
  <c r="P282" i="21"/>
  <c r="P44" i="21"/>
  <c r="K82" i="21"/>
  <c r="I70" i="21"/>
  <c r="K70" i="21" s="1"/>
  <c r="L20" i="21"/>
  <c r="O23" i="21"/>
  <c r="L21" i="21"/>
  <c r="O358" i="20"/>
  <c r="L125" i="20"/>
  <c r="O125" i="20" s="1"/>
  <c r="P358" i="20"/>
  <c r="L282" i="19"/>
  <c r="O282" i="19" s="1"/>
  <c r="P175" i="20"/>
  <c r="L320" i="20"/>
  <c r="O320" i="20" s="1"/>
  <c r="L72" i="20"/>
  <c r="O72" i="20" s="1"/>
  <c r="M282" i="20"/>
  <c r="P282" i="20" s="1"/>
  <c r="O175" i="20"/>
  <c r="L333" i="20"/>
  <c r="O333" i="20" s="1"/>
  <c r="N40" i="20"/>
  <c r="L303" i="20"/>
  <c r="O303" i="20" s="1"/>
  <c r="P186" i="20"/>
  <c r="M139" i="18"/>
  <c r="P139" i="18" s="1"/>
  <c r="L157" i="20"/>
  <c r="O157" i="20" s="1"/>
  <c r="L266" i="20"/>
  <c r="O266" i="20" s="1"/>
  <c r="L282" i="20"/>
  <c r="O282" i="20" s="1"/>
  <c r="L320" i="19"/>
  <c r="O320" i="19" s="1"/>
  <c r="L24" i="20"/>
  <c r="O24" i="20" s="1"/>
  <c r="O186" i="19"/>
  <c r="I231" i="20"/>
  <c r="K231" i="20" s="1"/>
  <c r="P335" i="20"/>
  <c r="P59" i="20"/>
  <c r="L44" i="20"/>
  <c r="O44" i="20" s="1"/>
  <c r="O188" i="19"/>
  <c r="O62" i="20"/>
  <c r="M24" i="20"/>
  <c r="P24" i="20" s="1"/>
  <c r="P26" i="20"/>
  <c r="K332" i="20"/>
  <c r="L356" i="20"/>
  <c r="O356" i="20" s="1"/>
  <c r="L20" i="20"/>
  <c r="O23" i="20"/>
  <c r="M173" i="20"/>
  <c r="P173" i="20" s="1"/>
  <c r="O96" i="20"/>
  <c r="L94" i="20"/>
  <c r="O94" i="20" s="1"/>
  <c r="M44" i="20"/>
  <c r="P188" i="20"/>
  <c r="P356" i="20"/>
  <c r="O19" i="20"/>
  <c r="N20" i="20"/>
  <c r="N18" i="20" s="1"/>
  <c r="N21" i="20"/>
  <c r="O21" i="20" s="1"/>
  <c r="P127" i="20"/>
  <c r="M125" i="20"/>
  <c r="P125" i="20" s="1"/>
  <c r="O186" i="20"/>
  <c r="I70" i="20"/>
  <c r="K70" i="20" s="1"/>
  <c r="K82" i="20"/>
  <c r="P186" i="19"/>
  <c r="P159" i="20"/>
  <c r="M157" i="20"/>
  <c r="P157" i="20" s="1"/>
  <c r="M72" i="20"/>
  <c r="P72" i="20" s="1"/>
  <c r="P61" i="20"/>
  <c r="K83" i="20"/>
  <c r="I71" i="20"/>
  <c r="K71" i="20" s="1"/>
  <c r="O188" i="20"/>
  <c r="M20" i="20"/>
  <c r="P23" i="20"/>
  <c r="O61" i="20"/>
  <c r="L59" i="20"/>
  <c r="O59" i="20" s="1"/>
  <c r="O243" i="20"/>
  <c r="L232" i="20"/>
  <c r="P141" i="20"/>
  <c r="M139" i="20"/>
  <c r="P139" i="20" s="1"/>
  <c r="L266" i="19"/>
  <c r="O266" i="19" s="1"/>
  <c r="O333" i="19"/>
  <c r="L232" i="19"/>
  <c r="M377" i="18"/>
  <c r="P377" i="18" s="1"/>
  <c r="P322" i="19"/>
  <c r="O173" i="19"/>
  <c r="P188" i="19"/>
  <c r="P379" i="19"/>
  <c r="O359" i="19"/>
  <c r="O243" i="19"/>
  <c r="P359" i="19"/>
  <c r="P96" i="19"/>
  <c r="M356" i="19"/>
  <c r="P356" i="19" s="1"/>
  <c r="M125" i="18"/>
  <c r="P125" i="18" s="1"/>
  <c r="L303" i="19"/>
  <c r="O303" i="19" s="1"/>
  <c r="L24" i="19"/>
  <c r="O24" i="19" s="1"/>
  <c r="P62" i="19"/>
  <c r="M94" i="18"/>
  <c r="P94" i="18" s="1"/>
  <c r="O74" i="19"/>
  <c r="O335" i="19"/>
  <c r="P333" i="19"/>
  <c r="P74" i="17"/>
  <c r="P186" i="18"/>
  <c r="L24" i="18"/>
  <c r="O24" i="18" s="1"/>
  <c r="O157" i="19"/>
  <c r="M24" i="19"/>
  <c r="P24" i="19" s="1"/>
  <c r="P335" i="19"/>
  <c r="P59" i="19"/>
  <c r="P23" i="19"/>
  <c r="M20" i="19"/>
  <c r="M21" i="19"/>
  <c r="O159" i="19"/>
  <c r="O336" i="19"/>
  <c r="N20" i="19"/>
  <c r="N18" i="19" s="1"/>
  <c r="N21" i="19"/>
  <c r="P74" i="19"/>
  <c r="M72" i="19"/>
  <c r="P72" i="19" s="1"/>
  <c r="N40" i="19"/>
  <c r="P141" i="19"/>
  <c r="M139" i="19"/>
  <c r="P139" i="19" s="1"/>
  <c r="O74" i="17"/>
  <c r="K332" i="18"/>
  <c r="I231" i="18"/>
  <c r="K231" i="18" s="1"/>
  <c r="O62" i="19"/>
  <c r="O61" i="19"/>
  <c r="P61" i="19"/>
  <c r="O46" i="19"/>
  <c r="I231" i="19"/>
  <c r="M157" i="19"/>
  <c r="P157" i="19" s="1"/>
  <c r="P159" i="19"/>
  <c r="O19" i="19"/>
  <c r="K82" i="19"/>
  <c r="I70" i="19"/>
  <c r="K70" i="19" s="1"/>
  <c r="L94" i="19"/>
  <c r="O94" i="19" s="1"/>
  <c r="O44" i="19"/>
  <c r="P127" i="19"/>
  <c r="M125" i="19"/>
  <c r="P125" i="19" s="1"/>
  <c r="L125" i="19"/>
  <c r="O125" i="19" s="1"/>
  <c r="P336" i="19"/>
  <c r="M303" i="19"/>
  <c r="P303" i="19" s="1"/>
  <c r="L377" i="19"/>
  <c r="O377" i="19" s="1"/>
  <c r="N72" i="17"/>
  <c r="P72" i="17" s="1"/>
  <c r="P305" i="18"/>
  <c r="L21" i="19"/>
  <c r="L20" i="19"/>
  <c r="L18" i="19" s="1"/>
  <c r="O23" i="19"/>
  <c r="P175" i="19"/>
  <c r="M173" i="19"/>
  <c r="P173" i="19" s="1"/>
  <c r="M266" i="19"/>
  <c r="P266" i="19" s="1"/>
  <c r="O175" i="19"/>
  <c r="O59" i="19"/>
  <c r="I71" i="19"/>
  <c r="K71" i="19" s="1"/>
  <c r="K83" i="19"/>
  <c r="M44" i="19"/>
  <c r="P46" i="19"/>
  <c r="O141" i="19"/>
  <c r="L139" i="19"/>
  <c r="O139" i="19" s="1"/>
  <c r="O358" i="19"/>
  <c r="L356" i="19"/>
  <c r="O356" i="19" s="1"/>
  <c r="M282" i="19"/>
  <c r="P282" i="19" s="1"/>
  <c r="P379" i="17"/>
  <c r="O62" i="18"/>
  <c r="L157" i="18"/>
  <c r="O157" i="18" s="1"/>
  <c r="P322" i="18"/>
  <c r="I231" i="17"/>
  <c r="I185" i="17" s="1"/>
  <c r="K185" i="17" s="1"/>
  <c r="M125" i="16"/>
  <c r="P125" i="16" s="1"/>
  <c r="P268" i="18"/>
  <c r="O358" i="18"/>
  <c r="O322" i="18"/>
  <c r="M282" i="18"/>
  <c r="P282" i="18" s="1"/>
  <c r="O46" i="18"/>
  <c r="P333" i="18"/>
  <c r="O188" i="16"/>
  <c r="P175" i="18"/>
  <c r="P359" i="18"/>
  <c r="L232" i="18"/>
  <c r="P46" i="18"/>
  <c r="M320" i="18"/>
  <c r="O173" i="18"/>
  <c r="P173" i="18"/>
  <c r="O175" i="18"/>
  <c r="L282" i="18"/>
  <c r="O282" i="18" s="1"/>
  <c r="K242" i="17"/>
  <c r="M44" i="18"/>
  <c r="P44" i="18" s="1"/>
  <c r="O186" i="18"/>
  <c r="P358" i="18"/>
  <c r="L377" i="18"/>
  <c r="O377" i="18" s="1"/>
  <c r="N320" i="18"/>
  <c r="O320" i="18" s="1"/>
  <c r="P333" i="17"/>
  <c r="L266" i="18"/>
  <c r="O266" i="18" s="1"/>
  <c r="P336" i="18"/>
  <c r="L139" i="18"/>
  <c r="O139" i="18" s="1"/>
  <c r="O141" i="18"/>
  <c r="O59" i="18"/>
  <c r="I71" i="18"/>
  <c r="K71" i="18" s="1"/>
  <c r="K83" i="18"/>
  <c r="M320" i="17"/>
  <c r="P320" i="17" s="1"/>
  <c r="O23" i="18"/>
  <c r="L20" i="18"/>
  <c r="L18" i="18" s="1"/>
  <c r="O61" i="18"/>
  <c r="P62" i="18"/>
  <c r="O44" i="18"/>
  <c r="L303" i="18"/>
  <c r="O303" i="18" s="1"/>
  <c r="O333" i="18"/>
  <c r="P23" i="18"/>
  <c r="M20" i="18"/>
  <c r="M21" i="18"/>
  <c r="N20" i="18"/>
  <c r="N18" i="18" s="1"/>
  <c r="N21" i="18"/>
  <c r="M72" i="18"/>
  <c r="P72" i="18" s="1"/>
  <c r="O188" i="18"/>
  <c r="P323" i="18"/>
  <c r="O323" i="18"/>
  <c r="O335" i="18"/>
  <c r="M356" i="18"/>
  <c r="P356" i="18" s="1"/>
  <c r="L21" i="18"/>
  <c r="K82" i="18"/>
  <c r="I70" i="18"/>
  <c r="K70" i="18" s="1"/>
  <c r="P188" i="18"/>
  <c r="O74" i="18"/>
  <c r="O356" i="18"/>
  <c r="M24" i="18"/>
  <c r="P24" i="18" s="1"/>
  <c r="P26" i="18"/>
  <c r="M157" i="18"/>
  <c r="P157" i="18" s="1"/>
  <c r="P61" i="18"/>
  <c r="L94" i="18"/>
  <c r="O94" i="18" s="1"/>
  <c r="O96" i="18"/>
  <c r="O72" i="18"/>
  <c r="P59" i="18"/>
  <c r="P335" i="18"/>
  <c r="O189" i="18"/>
  <c r="L125" i="18"/>
  <c r="O125" i="18" s="1"/>
  <c r="O127" i="18"/>
  <c r="O19" i="18"/>
  <c r="P335" i="15"/>
  <c r="O356" i="17"/>
  <c r="P305" i="17"/>
  <c r="P358" i="17"/>
  <c r="O358" i="17"/>
  <c r="M282" i="16"/>
  <c r="P282" i="16" s="1"/>
  <c r="L24" i="17"/>
  <c r="O24" i="17" s="1"/>
  <c r="O268" i="17"/>
  <c r="L377" i="17"/>
  <c r="O377" i="17" s="1"/>
  <c r="O268" i="16"/>
  <c r="O46" i="17"/>
  <c r="P75" i="17"/>
  <c r="O175" i="17"/>
  <c r="L377" i="16"/>
  <c r="O377" i="16" s="1"/>
  <c r="M282" i="17"/>
  <c r="P282" i="17" s="1"/>
  <c r="O359" i="17"/>
  <c r="O159" i="17"/>
  <c r="P139" i="16"/>
  <c r="P141" i="17"/>
  <c r="L282" i="17"/>
  <c r="O282" i="17" s="1"/>
  <c r="L72" i="17"/>
  <c r="P47" i="17"/>
  <c r="N186" i="17"/>
  <c r="O186" i="17" s="1"/>
  <c r="P188" i="17"/>
  <c r="O173" i="17"/>
  <c r="O157" i="17"/>
  <c r="M157" i="14"/>
  <c r="P157" i="14" s="1"/>
  <c r="L303" i="16"/>
  <c r="O303" i="16" s="1"/>
  <c r="O335" i="17"/>
  <c r="M266" i="17"/>
  <c r="P266" i="17" s="1"/>
  <c r="N44" i="17"/>
  <c r="O44" i="17" s="1"/>
  <c r="P96" i="17"/>
  <c r="M94" i="17"/>
  <c r="P94" i="17" s="1"/>
  <c r="P335" i="17"/>
  <c r="O61" i="17"/>
  <c r="L59" i="17"/>
  <c r="M72" i="16"/>
  <c r="P72" i="16" s="1"/>
  <c r="O19" i="17"/>
  <c r="K83" i="17"/>
  <c r="I71" i="17"/>
  <c r="K71" i="17" s="1"/>
  <c r="N20" i="17"/>
  <c r="N18" i="17" s="1"/>
  <c r="N21" i="17"/>
  <c r="P21" i="17" s="1"/>
  <c r="M356" i="17"/>
  <c r="P356" i="17" s="1"/>
  <c r="P127" i="17"/>
  <c r="M125" i="17"/>
  <c r="P125" i="17" s="1"/>
  <c r="O159" i="16"/>
  <c r="K82" i="17"/>
  <c r="I70" i="17"/>
  <c r="K70" i="17" s="1"/>
  <c r="M24" i="17"/>
  <c r="P24" i="17" s="1"/>
  <c r="P26" i="17"/>
  <c r="P61" i="17"/>
  <c r="N303" i="17"/>
  <c r="P303" i="17" s="1"/>
  <c r="P46" i="17"/>
  <c r="M44" i="17"/>
  <c r="P159" i="17"/>
  <c r="M157" i="17"/>
  <c r="P157" i="17" s="1"/>
  <c r="L139" i="17"/>
  <c r="O139" i="17" s="1"/>
  <c r="L72" i="16"/>
  <c r="O72" i="16" s="1"/>
  <c r="P175" i="17"/>
  <c r="M173" i="17"/>
  <c r="P173" i="17" s="1"/>
  <c r="P59" i="17"/>
  <c r="O305" i="17"/>
  <c r="M20" i="17"/>
  <c r="P23" i="17"/>
  <c r="O243" i="17"/>
  <c r="L232" i="17"/>
  <c r="K83" i="16"/>
  <c r="P188" i="16"/>
  <c r="L125" i="17"/>
  <c r="O125" i="17" s="1"/>
  <c r="L20" i="17"/>
  <c r="O23" i="17"/>
  <c r="L333" i="17"/>
  <c r="O333" i="17" s="1"/>
  <c r="P356" i="15"/>
  <c r="O175" i="16"/>
  <c r="L320" i="16"/>
  <c r="O320" i="16" s="1"/>
  <c r="M303" i="16"/>
  <c r="P303" i="16" s="1"/>
  <c r="P61" i="15"/>
  <c r="M320" i="16"/>
  <c r="P320" i="16" s="1"/>
  <c r="P175" i="14"/>
  <c r="P74" i="14"/>
  <c r="O59" i="16"/>
  <c r="P141" i="16"/>
  <c r="L282" i="16"/>
  <c r="O282" i="16" s="1"/>
  <c r="O157" i="16"/>
  <c r="O46" i="14"/>
  <c r="M186" i="16"/>
  <c r="P186" i="16" s="1"/>
  <c r="M377" i="16"/>
  <c r="P377" i="16" s="1"/>
  <c r="P358" i="16"/>
  <c r="M94" i="16"/>
  <c r="P94" i="16" s="1"/>
  <c r="O61" i="16"/>
  <c r="L139" i="15"/>
  <c r="O139" i="15" s="1"/>
  <c r="L24" i="16"/>
  <c r="O24" i="16" s="1"/>
  <c r="P335" i="16"/>
  <c r="M356" i="16"/>
  <c r="P356" i="16" s="1"/>
  <c r="P335" i="13"/>
  <c r="N20" i="16"/>
  <c r="N18" i="16" s="1"/>
  <c r="L186" i="16"/>
  <c r="O186" i="16" s="1"/>
  <c r="M125" i="14"/>
  <c r="P125" i="14" s="1"/>
  <c r="P47" i="16"/>
  <c r="P175" i="15"/>
  <c r="I70" i="16"/>
  <c r="K70" i="16" s="1"/>
  <c r="P61" i="16"/>
  <c r="O173" i="16"/>
  <c r="M157" i="16"/>
  <c r="P157" i="16" s="1"/>
  <c r="O335" i="16"/>
  <c r="L333" i="16"/>
  <c r="O141" i="16"/>
  <c r="L139" i="16"/>
  <c r="O139" i="16" s="1"/>
  <c r="O306" i="15"/>
  <c r="M157" i="15"/>
  <c r="P157" i="15" s="1"/>
  <c r="M24" i="16"/>
  <c r="P24" i="16" s="1"/>
  <c r="M59" i="16"/>
  <c r="M21" i="16"/>
  <c r="M20" i="16"/>
  <c r="P23" i="16"/>
  <c r="O46" i="16"/>
  <c r="L44" i="16"/>
  <c r="I231" i="16"/>
  <c r="O336" i="16"/>
  <c r="P175" i="16"/>
  <c r="N21" i="16"/>
  <c r="O21" i="16" s="1"/>
  <c r="L356" i="16"/>
  <c r="O356" i="16" s="1"/>
  <c r="O358" i="16"/>
  <c r="L94" i="16"/>
  <c r="O94" i="16" s="1"/>
  <c r="M266" i="16"/>
  <c r="P266" i="16" s="1"/>
  <c r="P173" i="16"/>
  <c r="O359" i="16"/>
  <c r="P358" i="15"/>
  <c r="L232" i="16"/>
  <c r="O243" i="16"/>
  <c r="L125" i="16"/>
  <c r="O125" i="16" s="1"/>
  <c r="O127" i="16"/>
  <c r="O23" i="16"/>
  <c r="L20" i="16"/>
  <c r="N333" i="16"/>
  <c r="P333" i="16" s="1"/>
  <c r="O47" i="16"/>
  <c r="N44" i="16"/>
  <c r="P46" i="16"/>
  <c r="O305" i="15"/>
  <c r="P96" i="15"/>
  <c r="O335" i="15"/>
  <c r="L94" i="14"/>
  <c r="O94" i="14" s="1"/>
  <c r="M72" i="15"/>
  <c r="P72" i="15" s="1"/>
  <c r="M333" i="15"/>
  <c r="P333" i="15" s="1"/>
  <c r="M320" i="14"/>
  <c r="P320" i="14" s="1"/>
  <c r="O358" i="1"/>
  <c r="O74" i="14"/>
  <c r="P336" i="14"/>
  <c r="P189" i="15"/>
  <c r="M125" i="15"/>
  <c r="P125" i="15" s="1"/>
  <c r="O175" i="14"/>
  <c r="L282" i="13"/>
  <c r="O282" i="13" s="1"/>
  <c r="O175" i="15"/>
  <c r="O74" i="15"/>
  <c r="O173" i="15"/>
  <c r="P46" i="15"/>
  <c r="L266" i="15"/>
  <c r="O266" i="15" s="1"/>
  <c r="O62" i="15"/>
  <c r="O46" i="15"/>
  <c r="P188" i="15"/>
  <c r="O333" i="15"/>
  <c r="L320" i="15"/>
  <c r="O320" i="15" s="1"/>
  <c r="M24" i="15"/>
  <c r="P24" i="15" s="1"/>
  <c r="M59" i="15"/>
  <c r="P59" i="15" s="1"/>
  <c r="N173" i="14"/>
  <c r="P173" i="14" s="1"/>
  <c r="L94" i="15"/>
  <c r="O94" i="15" s="1"/>
  <c r="O159" i="15"/>
  <c r="L303" i="15"/>
  <c r="O303" i="15" s="1"/>
  <c r="N40" i="15"/>
  <c r="O358" i="15"/>
  <c r="L356" i="15"/>
  <c r="O356" i="15" s="1"/>
  <c r="O333" i="10"/>
  <c r="O141" i="13"/>
  <c r="O159" i="14"/>
  <c r="P96" i="14"/>
  <c r="O358" i="14"/>
  <c r="L20" i="15"/>
  <c r="L18" i="15" s="1"/>
  <c r="O23" i="15"/>
  <c r="O61" i="15"/>
  <c r="L59" i="15"/>
  <c r="O59" i="15" s="1"/>
  <c r="L24" i="15"/>
  <c r="O24" i="15" s="1"/>
  <c r="L125" i="15"/>
  <c r="O125" i="15" s="1"/>
  <c r="P173" i="15"/>
  <c r="I231" i="15"/>
  <c r="P268" i="15"/>
  <c r="M266" i="15"/>
  <c r="P266" i="15" s="1"/>
  <c r="P305" i="15"/>
  <c r="M303" i="15"/>
  <c r="P303" i="15" s="1"/>
  <c r="P322" i="12"/>
  <c r="P359" i="14"/>
  <c r="P186" i="15"/>
  <c r="K82" i="15"/>
  <c r="I70" i="15"/>
  <c r="K70" i="15" s="1"/>
  <c r="P359" i="15"/>
  <c r="N20" i="15"/>
  <c r="N18" i="15" s="1"/>
  <c r="N21" i="15"/>
  <c r="P21" i="15" s="1"/>
  <c r="I185" i="13"/>
  <c r="K185" i="13" s="1"/>
  <c r="I231" i="14"/>
  <c r="I185" i="14" s="1"/>
  <c r="K185" i="14" s="1"/>
  <c r="O44" i="15"/>
  <c r="P44" i="15"/>
  <c r="O379" i="15"/>
  <c r="L377" i="15"/>
  <c r="O377" i="15" s="1"/>
  <c r="P141" i="15"/>
  <c r="M139" i="15"/>
  <c r="P139" i="15" s="1"/>
  <c r="P358" i="14"/>
  <c r="O19" i="15"/>
  <c r="K83" i="15"/>
  <c r="I71" i="15"/>
  <c r="K71" i="15" s="1"/>
  <c r="L282" i="15"/>
  <c r="O282" i="15" s="1"/>
  <c r="L232" i="15"/>
  <c r="O188" i="15"/>
  <c r="L186" i="15"/>
  <c r="O186" i="15" s="1"/>
  <c r="M320" i="15"/>
  <c r="P320" i="15" s="1"/>
  <c r="M20" i="15"/>
  <c r="P23" i="15"/>
  <c r="P379" i="15"/>
  <c r="M377" i="15"/>
  <c r="P377" i="15" s="1"/>
  <c r="P284" i="15"/>
  <c r="M282" i="15"/>
  <c r="P282" i="15" s="1"/>
  <c r="P61" i="13"/>
  <c r="O333" i="14"/>
  <c r="M24" i="14"/>
  <c r="P24" i="14" s="1"/>
  <c r="N157" i="14"/>
  <c r="O157" i="14" s="1"/>
  <c r="P335" i="14"/>
  <c r="O305" i="14"/>
  <c r="I70" i="14"/>
  <c r="K70" i="14" s="1"/>
  <c r="O335" i="14"/>
  <c r="L125" i="14"/>
  <c r="O125" i="14" s="1"/>
  <c r="P379" i="14"/>
  <c r="P356" i="14"/>
  <c r="L24" i="14"/>
  <c r="O24" i="14" s="1"/>
  <c r="O141" i="14"/>
  <c r="P188" i="14"/>
  <c r="P46" i="14"/>
  <c r="L139" i="14"/>
  <c r="O139" i="14" s="1"/>
  <c r="M333" i="14"/>
  <c r="P333" i="14" s="1"/>
  <c r="O284" i="14"/>
  <c r="L282" i="14"/>
  <c r="O282" i="14" s="1"/>
  <c r="P186" i="13"/>
  <c r="M282" i="14"/>
  <c r="P282" i="14" s="1"/>
  <c r="O176" i="14"/>
  <c r="O19" i="14"/>
  <c r="M320" i="13"/>
  <c r="P320" i="13" s="1"/>
  <c r="O157" i="13"/>
  <c r="O96" i="13"/>
  <c r="P61" i="14"/>
  <c r="M20" i="14"/>
  <c r="P23" i="14"/>
  <c r="N44" i="14"/>
  <c r="M59" i="14"/>
  <c r="P59" i="14" s="1"/>
  <c r="M186" i="14"/>
  <c r="P186" i="14" s="1"/>
  <c r="M303" i="14"/>
  <c r="P303" i="14" s="1"/>
  <c r="L20" i="14"/>
  <c r="O23" i="14"/>
  <c r="O188" i="14"/>
  <c r="L186" i="14"/>
  <c r="O186" i="14" s="1"/>
  <c r="K83" i="14"/>
  <c r="I71" i="14"/>
  <c r="K71" i="14" s="1"/>
  <c r="O358" i="13"/>
  <c r="O268" i="14"/>
  <c r="L266" i="14"/>
  <c r="O266" i="14" s="1"/>
  <c r="L377" i="14"/>
  <c r="O377" i="14" s="1"/>
  <c r="O379" i="14"/>
  <c r="N20" i="14"/>
  <c r="N18" i="14" s="1"/>
  <c r="N21" i="14"/>
  <c r="P21" i="14" s="1"/>
  <c r="L21" i="14"/>
  <c r="L232" i="14"/>
  <c r="O243" i="14"/>
  <c r="O61" i="14"/>
  <c r="L59" i="14"/>
  <c r="O59" i="14" s="1"/>
  <c r="L320" i="14"/>
  <c r="O320" i="14" s="1"/>
  <c r="P141" i="14"/>
  <c r="M139" i="14"/>
  <c r="P139" i="14" s="1"/>
  <c r="M266" i="14"/>
  <c r="P266" i="14" s="1"/>
  <c r="L356" i="14"/>
  <c r="O356" i="14" s="1"/>
  <c r="O159" i="13"/>
  <c r="O44" i="13"/>
  <c r="O46" i="13"/>
  <c r="M377" i="13"/>
  <c r="P377" i="13" s="1"/>
  <c r="M266" i="13"/>
  <c r="P266" i="13" s="1"/>
  <c r="P305" i="12"/>
  <c r="P358" i="12"/>
  <c r="O127" i="13"/>
  <c r="I70" i="13"/>
  <c r="K70" i="13" s="1"/>
  <c r="M94" i="11"/>
  <c r="P94" i="11" s="1"/>
  <c r="M333" i="13"/>
  <c r="P333" i="13" s="1"/>
  <c r="L282" i="12"/>
  <c r="O282" i="12" s="1"/>
  <c r="O188" i="13"/>
  <c r="M59" i="13"/>
  <c r="P59" i="13" s="1"/>
  <c r="K83" i="13"/>
  <c r="O175" i="13"/>
  <c r="L72" i="13"/>
  <c r="O72" i="13" s="1"/>
  <c r="L24" i="13"/>
  <c r="O24" i="13" s="1"/>
  <c r="M94" i="13"/>
  <c r="P94" i="13" s="1"/>
  <c r="O173" i="13"/>
  <c r="P336" i="13"/>
  <c r="P188" i="13"/>
  <c r="O305" i="13"/>
  <c r="L303" i="13"/>
  <c r="P305" i="13"/>
  <c r="N303" i="13"/>
  <c r="P303" i="13" s="1"/>
  <c r="L232" i="13"/>
  <c r="O243" i="13"/>
  <c r="L157" i="12"/>
  <c r="O157" i="12" s="1"/>
  <c r="M157" i="13"/>
  <c r="P157" i="13" s="1"/>
  <c r="P159" i="13"/>
  <c r="M24" i="13"/>
  <c r="P24" i="13" s="1"/>
  <c r="P26" i="13"/>
  <c r="L186" i="13"/>
  <c r="O186" i="13" s="1"/>
  <c r="L320" i="13"/>
  <c r="O320" i="13" s="1"/>
  <c r="O322" i="13"/>
  <c r="O268" i="13"/>
  <c r="L266" i="13"/>
  <c r="O266" i="13" s="1"/>
  <c r="M139" i="13"/>
  <c r="P139" i="13" s="1"/>
  <c r="M173" i="13"/>
  <c r="P173" i="13" s="1"/>
  <c r="P175" i="13"/>
  <c r="O19" i="13"/>
  <c r="O379" i="12"/>
  <c r="L21" i="13"/>
  <c r="L20" i="13"/>
  <c r="L18" i="13" s="1"/>
  <c r="O23" i="13"/>
  <c r="P23" i="13"/>
  <c r="M20" i="13"/>
  <c r="M21" i="13"/>
  <c r="O61" i="13"/>
  <c r="L59" i="13"/>
  <c r="L333" i="13"/>
  <c r="O333" i="13" s="1"/>
  <c r="O335" i="13"/>
  <c r="N20" i="13"/>
  <c r="N18" i="13" s="1"/>
  <c r="N21" i="13"/>
  <c r="M24" i="11"/>
  <c r="P24" i="11" s="1"/>
  <c r="K242" i="11"/>
  <c r="L125" i="12"/>
  <c r="O125" i="12" s="1"/>
  <c r="L173" i="12"/>
  <c r="O173" i="12" s="1"/>
  <c r="M44" i="13"/>
  <c r="P46" i="13"/>
  <c r="O62" i="13"/>
  <c r="P127" i="13"/>
  <c r="M125" i="13"/>
  <c r="P125" i="13" s="1"/>
  <c r="M356" i="13"/>
  <c r="P356" i="13" s="1"/>
  <c r="P358" i="13"/>
  <c r="P62" i="13"/>
  <c r="L356" i="13"/>
  <c r="O356" i="13" s="1"/>
  <c r="O268" i="11"/>
  <c r="M157" i="12"/>
  <c r="P157" i="12" s="1"/>
  <c r="M72" i="13"/>
  <c r="P72" i="13" s="1"/>
  <c r="P74" i="13"/>
  <c r="P284" i="13"/>
  <c r="M282" i="13"/>
  <c r="P282" i="13" s="1"/>
  <c r="O379" i="13"/>
  <c r="L377" i="13"/>
  <c r="O377" i="13" s="1"/>
  <c r="O59" i="11"/>
  <c r="O59" i="12"/>
  <c r="P141" i="12"/>
  <c r="O333" i="11"/>
  <c r="P335" i="9"/>
  <c r="M320" i="10"/>
  <c r="P320" i="10" s="1"/>
  <c r="P188" i="11"/>
  <c r="O305" i="12"/>
  <c r="O188" i="12"/>
  <c r="O74" i="12"/>
  <c r="N303" i="12"/>
  <c r="P303" i="12" s="1"/>
  <c r="O141" i="12"/>
  <c r="P175" i="11"/>
  <c r="P188" i="12"/>
  <c r="I70" i="12"/>
  <c r="K70" i="12" s="1"/>
  <c r="M282" i="12"/>
  <c r="P282" i="12" s="1"/>
  <c r="O305" i="6"/>
  <c r="O379" i="11"/>
  <c r="O186" i="12"/>
  <c r="L320" i="12"/>
  <c r="O320" i="12" s="1"/>
  <c r="P335" i="11"/>
  <c r="L232" i="11"/>
  <c r="P61" i="12"/>
  <c r="M139" i="12"/>
  <c r="P139" i="12" s="1"/>
  <c r="K332" i="11"/>
  <c r="P97" i="12"/>
  <c r="K332" i="12"/>
  <c r="O305" i="11"/>
  <c r="P62" i="12"/>
  <c r="O335" i="12"/>
  <c r="P175" i="12"/>
  <c r="M157" i="11"/>
  <c r="P157" i="11" s="1"/>
  <c r="P173" i="12"/>
  <c r="O61" i="12"/>
  <c r="O189" i="12"/>
  <c r="M186" i="12"/>
  <c r="P186" i="12" s="1"/>
  <c r="P96" i="12"/>
  <c r="P189" i="12"/>
  <c r="M125" i="12"/>
  <c r="P125" i="12" s="1"/>
  <c r="P44" i="12"/>
  <c r="M21" i="12"/>
  <c r="M20" i="12"/>
  <c r="P23" i="12"/>
  <c r="L20" i="12"/>
  <c r="O23" i="12"/>
  <c r="K83" i="12"/>
  <c r="I71" i="12"/>
  <c r="K71" i="12" s="1"/>
  <c r="O243" i="11"/>
  <c r="P335" i="12"/>
  <c r="M333" i="12"/>
  <c r="M59" i="12"/>
  <c r="P59" i="12" s="1"/>
  <c r="P305" i="10"/>
  <c r="N186" i="11"/>
  <c r="P186" i="11" s="1"/>
  <c r="M125" i="11"/>
  <c r="P125" i="11" s="1"/>
  <c r="M266" i="12"/>
  <c r="P266" i="12" s="1"/>
  <c r="I231" i="12"/>
  <c r="M72" i="12"/>
  <c r="P72" i="12" s="1"/>
  <c r="N333" i="12"/>
  <c r="O333" i="12" s="1"/>
  <c r="N356" i="12"/>
  <c r="P356" i="12" s="1"/>
  <c r="L356" i="12"/>
  <c r="O358" i="12"/>
  <c r="P46" i="12"/>
  <c r="N20" i="12"/>
  <c r="N18" i="12" s="1"/>
  <c r="N21" i="12"/>
  <c r="M24" i="12"/>
  <c r="P24" i="12" s="1"/>
  <c r="P26" i="12"/>
  <c r="L266" i="12"/>
  <c r="O266" i="12" s="1"/>
  <c r="O268" i="12"/>
  <c r="L21" i="12"/>
  <c r="L139" i="12"/>
  <c r="O139" i="12" s="1"/>
  <c r="P306" i="12"/>
  <c r="O306" i="12"/>
  <c r="O74" i="11"/>
  <c r="M266" i="11"/>
  <c r="P266" i="11" s="1"/>
  <c r="L94" i="12"/>
  <c r="O94" i="12" s="1"/>
  <c r="O96" i="12"/>
  <c r="O46" i="12"/>
  <c r="L232" i="12"/>
  <c r="P61" i="11"/>
  <c r="O97" i="12"/>
  <c r="O44" i="12"/>
  <c r="L24" i="12"/>
  <c r="O24" i="12" s="1"/>
  <c r="P94" i="12"/>
  <c r="M377" i="12"/>
  <c r="P377" i="12" s="1"/>
  <c r="P59" i="10"/>
  <c r="M72" i="11"/>
  <c r="P72" i="11" s="1"/>
  <c r="N173" i="11"/>
  <c r="P173" i="11" s="1"/>
  <c r="M333" i="11"/>
  <c r="P333" i="11" s="1"/>
  <c r="O61" i="11"/>
  <c r="M139" i="11"/>
  <c r="P139" i="11" s="1"/>
  <c r="O333" i="9"/>
  <c r="L24" i="11"/>
  <c r="O24" i="11" s="1"/>
  <c r="O46" i="11"/>
  <c r="M282" i="11"/>
  <c r="P282" i="11" s="1"/>
  <c r="P46" i="11"/>
  <c r="O189" i="11"/>
  <c r="P305" i="11"/>
  <c r="M303" i="11"/>
  <c r="P303" i="11" s="1"/>
  <c r="K332" i="10"/>
  <c r="L282" i="11"/>
  <c r="O282" i="11" s="1"/>
  <c r="M59" i="11"/>
  <c r="P59" i="11" s="1"/>
  <c r="O188" i="11"/>
  <c r="L186" i="11"/>
  <c r="N20" i="11"/>
  <c r="N18" i="11" s="1"/>
  <c r="N21" i="11"/>
  <c r="O21" i="11" s="1"/>
  <c r="P322" i="9"/>
  <c r="M20" i="11"/>
  <c r="P23" i="11"/>
  <c r="K83" i="11"/>
  <c r="I71" i="11"/>
  <c r="K71" i="11" s="1"/>
  <c r="L125" i="11"/>
  <c r="O125" i="11" s="1"/>
  <c r="L320" i="11"/>
  <c r="O320" i="11" s="1"/>
  <c r="P358" i="11"/>
  <c r="L20" i="11"/>
  <c r="O23" i="11"/>
  <c r="L157" i="11"/>
  <c r="O157" i="11" s="1"/>
  <c r="O159" i="11"/>
  <c r="O356" i="9"/>
  <c r="P356" i="10"/>
  <c r="P62" i="10"/>
  <c r="O19" i="11"/>
  <c r="O175" i="11"/>
  <c r="L173" i="11"/>
  <c r="L139" i="11"/>
  <c r="O139" i="11" s="1"/>
  <c r="M377" i="11"/>
  <c r="P377" i="11" s="1"/>
  <c r="P356" i="11"/>
  <c r="P322" i="11"/>
  <c r="M320" i="11"/>
  <c r="P320" i="11" s="1"/>
  <c r="L356" i="11"/>
  <c r="O356" i="11" s="1"/>
  <c r="O358" i="11"/>
  <c r="P44" i="11"/>
  <c r="I185" i="11"/>
  <c r="K185" i="11" s="1"/>
  <c r="O62" i="10"/>
  <c r="K82" i="11"/>
  <c r="I70" i="11"/>
  <c r="K70" i="11" s="1"/>
  <c r="L94" i="11"/>
  <c r="O94" i="11" s="1"/>
  <c r="P62" i="11"/>
  <c r="O62" i="11"/>
  <c r="O44" i="11"/>
  <c r="O335" i="11"/>
  <c r="P379" i="9"/>
  <c r="M157" i="10"/>
  <c r="P157" i="10" s="1"/>
  <c r="L320" i="10"/>
  <c r="O320" i="10" s="1"/>
  <c r="O175" i="10"/>
  <c r="L282" i="10"/>
  <c r="O282" i="10" s="1"/>
  <c r="O356" i="10"/>
  <c r="O322" i="8"/>
  <c r="M139" i="10"/>
  <c r="P139" i="10" s="1"/>
  <c r="P61" i="9"/>
  <c r="O175" i="9"/>
  <c r="L72" i="10"/>
  <c r="O72" i="10" s="1"/>
  <c r="M94" i="10"/>
  <c r="P94" i="10" s="1"/>
  <c r="L157" i="10"/>
  <c r="O157" i="10" s="1"/>
  <c r="P61" i="10"/>
  <c r="M266" i="10"/>
  <c r="P266" i="10" s="1"/>
  <c r="L303" i="10"/>
  <c r="O303" i="10" s="1"/>
  <c r="L72" i="1"/>
  <c r="O46" i="10"/>
  <c r="L266" i="9"/>
  <c r="O266" i="9" s="1"/>
  <c r="N173" i="10"/>
  <c r="P173" i="10" s="1"/>
  <c r="O358" i="10"/>
  <c r="O46" i="9"/>
  <c r="M72" i="10"/>
  <c r="P72" i="10" s="1"/>
  <c r="P74" i="10"/>
  <c r="M333" i="10"/>
  <c r="P333" i="10" s="1"/>
  <c r="P335" i="10"/>
  <c r="N186" i="10"/>
  <c r="P186" i="10" s="1"/>
  <c r="P188" i="10"/>
  <c r="P175" i="10"/>
  <c r="M94" i="8"/>
  <c r="P94" i="8" s="1"/>
  <c r="O336" i="9"/>
  <c r="P358" i="10"/>
  <c r="L24" i="10"/>
  <c r="O24" i="10" s="1"/>
  <c r="O188" i="10"/>
  <c r="L186" i="10"/>
  <c r="L125" i="10"/>
  <c r="O125" i="10" s="1"/>
  <c r="L20" i="10"/>
  <c r="O23" i="10"/>
  <c r="N20" i="10"/>
  <c r="N18" i="10" s="1"/>
  <c r="N21" i="10"/>
  <c r="P21" i="10" s="1"/>
  <c r="O44" i="10"/>
  <c r="O268" i="10"/>
  <c r="L266" i="10"/>
  <c r="O266" i="10" s="1"/>
  <c r="P46" i="9"/>
  <c r="M44" i="10"/>
  <c r="P46" i="10"/>
  <c r="O19" i="10"/>
  <c r="L139" i="10"/>
  <c r="O139" i="10" s="1"/>
  <c r="K83" i="10"/>
  <c r="I71" i="10"/>
  <c r="K71" i="10" s="1"/>
  <c r="I70" i="10"/>
  <c r="K70" i="10" s="1"/>
  <c r="K82" i="10"/>
  <c r="L377" i="10"/>
  <c r="O377" i="10" s="1"/>
  <c r="M282" i="10"/>
  <c r="P282" i="10" s="1"/>
  <c r="P284" i="10"/>
  <c r="M20" i="10"/>
  <c r="P23" i="10"/>
  <c r="O61" i="10"/>
  <c r="L59" i="10"/>
  <c r="O59" i="10" s="1"/>
  <c r="M24" i="10"/>
  <c r="P24" i="10" s="1"/>
  <c r="P26" i="10"/>
  <c r="L94" i="10"/>
  <c r="O94" i="10" s="1"/>
  <c r="O96" i="10"/>
  <c r="L232" i="10"/>
  <c r="O243" i="10"/>
  <c r="M377" i="10"/>
  <c r="P377" i="10" s="1"/>
  <c r="P379" i="10"/>
  <c r="O335" i="10"/>
  <c r="P127" i="10"/>
  <c r="M125" i="10"/>
  <c r="P125" i="10" s="1"/>
  <c r="L125" i="8"/>
  <c r="O125" i="8" s="1"/>
  <c r="I231" i="8"/>
  <c r="K231" i="8" s="1"/>
  <c r="O305" i="8"/>
  <c r="P359" i="8"/>
  <c r="N173" i="9"/>
  <c r="O173" i="9" s="1"/>
  <c r="P175" i="9"/>
  <c r="N44" i="9"/>
  <c r="O44" i="9" s="1"/>
  <c r="M282" i="6"/>
  <c r="P282" i="6" s="1"/>
  <c r="M266" i="9"/>
  <c r="P266" i="9" s="1"/>
  <c r="M303" i="9"/>
  <c r="P303" i="9" s="1"/>
  <c r="M282" i="8"/>
  <c r="P282" i="8" s="1"/>
  <c r="P188" i="8"/>
  <c r="L139" i="9"/>
  <c r="O139" i="9" s="1"/>
  <c r="L320" i="9"/>
  <c r="O320" i="9" s="1"/>
  <c r="P358" i="9"/>
  <c r="O335" i="9"/>
  <c r="L157" i="8"/>
  <c r="O157" i="8" s="1"/>
  <c r="L125" i="9"/>
  <c r="O125" i="9" s="1"/>
  <c r="P186" i="9"/>
  <c r="P358" i="8"/>
  <c r="L173" i="8"/>
  <c r="O173" i="8" s="1"/>
  <c r="M94" i="9"/>
  <c r="P94" i="9" s="1"/>
  <c r="O358" i="9"/>
  <c r="K332" i="8"/>
  <c r="M139" i="9"/>
  <c r="P139" i="9" s="1"/>
  <c r="P141" i="9"/>
  <c r="P188" i="9"/>
  <c r="M125" i="8"/>
  <c r="P125" i="8" s="1"/>
  <c r="P127" i="9"/>
  <c r="L377" i="9"/>
  <c r="O377" i="9" s="1"/>
  <c r="O359" i="9"/>
  <c r="L24" i="9"/>
  <c r="O24" i="9" s="1"/>
  <c r="L303" i="9"/>
  <c r="O303" i="9" s="1"/>
  <c r="O305" i="9"/>
  <c r="O188" i="7"/>
  <c r="M20" i="9"/>
  <c r="P23" i="9"/>
  <c r="N20" i="9"/>
  <c r="N18" i="9" s="1"/>
  <c r="N21" i="9"/>
  <c r="O21" i="9" s="1"/>
  <c r="K83" i="9"/>
  <c r="I71" i="9"/>
  <c r="K71" i="9" s="1"/>
  <c r="L157" i="9"/>
  <c r="O157" i="9" s="1"/>
  <c r="O159" i="9"/>
  <c r="N59" i="9"/>
  <c r="P336" i="9"/>
  <c r="M282" i="9"/>
  <c r="P282" i="9" s="1"/>
  <c r="M333" i="9"/>
  <c r="P333" i="9" s="1"/>
  <c r="M356" i="9"/>
  <c r="P356" i="9" s="1"/>
  <c r="M24" i="9"/>
  <c r="P24" i="9" s="1"/>
  <c r="M21" i="9"/>
  <c r="K242" i="9"/>
  <c r="I231" i="9"/>
  <c r="M72" i="9"/>
  <c r="P72" i="9" s="1"/>
  <c r="M157" i="9"/>
  <c r="P157" i="9" s="1"/>
  <c r="O61" i="8"/>
  <c r="I71" i="8"/>
  <c r="K71" i="8" s="1"/>
  <c r="O61" i="9"/>
  <c r="O284" i="9"/>
  <c r="L282" i="9"/>
  <c r="O282" i="9" s="1"/>
  <c r="L232" i="9"/>
  <c r="O243" i="9"/>
  <c r="O335" i="8"/>
  <c r="K82" i="9"/>
  <c r="I70" i="9"/>
  <c r="K70" i="9" s="1"/>
  <c r="M173" i="9"/>
  <c r="P173" i="9" s="1"/>
  <c r="L186" i="9"/>
  <c r="O186" i="9" s="1"/>
  <c r="O188" i="9"/>
  <c r="P61" i="8"/>
  <c r="L72" i="9"/>
  <c r="O74" i="9"/>
  <c r="L20" i="9"/>
  <c r="O23" i="9"/>
  <c r="O96" i="9"/>
  <c r="L94" i="9"/>
  <c r="O94" i="9" s="1"/>
  <c r="L157" i="7"/>
  <c r="O157" i="7" s="1"/>
  <c r="L303" i="7"/>
  <c r="O303" i="7" s="1"/>
  <c r="L333" i="8"/>
  <c r="O333" i="8" s="1"/>
  <c r="L139" i="8"/>
  <c r="O139" i="8" s="1"/>
  <c r="P305" i="8"/>
  <c r="L72" i="8"/>
  <c r="O72" i="8" s="1"/>
  <c r="P141" i="8"/>
  <c r="M320" i="8"/>
  <c r="P320" i="8" s="1"/>
  <c r="O175" i="7"/>
  <c r="O188" i="8"/>
  <c r="M377" i="8"/>
  <c r="P377" i="8" s="1"/>
  <c r="P336" i="8"/>
  <c r="M266" i="8"/>
  <c r="P266" i="8" s="1"/>
  <c r="P303" i="8"/>
  <c r="P358" i="7"/>
  <c r="L282" i="8"/>
  <c r="O282" i="8" s="1"/>
  <c r="M59" i="8"/>
  <c r="P59" i="8" s="1"/>
  <c r="P335" i="8"/>
  <c r="K83" i="7"/>
  <c r="N20" i="8"/>
  <c r="N18" i="8" s="1"/>
  <c r="M24" i="8"/>
  <c r="P24" i="8" s="1"/>
  <c r="M333" i="8"/>
  <c r="P333" i="8" s="1"/>
  <c r="O46" i="8"/>
  <c r="N40" i="8"/>
  <c r="O356" i="8"/>
  <c r="O358" i="8"/>
  <c r="O359" i="7"/>
  <c r="M157" i="8"/>
  <c r="P157" i="8" s="1"/>
  <c r="P159" i="8"/>
  <c r="M186" i="8"/>
  <c r="P186" i="8" s="1"/>
  <c r="L94" i="8"/>
  <c r="O94" i="8" s="1"/>
  <c r="O96" i="8"/>
  <c r="P359" i="7"/>
  <c r="P175" i="8"/>
  <c r="M173" i="8"/>
  <c r="P173" i="8" s="1"/>
  <c r="L59" i="8"/>
  <c r="O59" i="8" s="1"/>
  <c r="L186" i="8"/>
  <c r="O186" i="8" s="1"/>
  <c r="P335" i="7"/>
  <c r="L21" i="8"/>
  <c r="O23" i="8"/>
  <c r="L20" i="8"/>
  <c r="L24" i="8"/>
  <c r="O24" i="8" s="1"/>
  <c r="K82" i="8"/>
  <c r="I70" i="8"/>
  <c r="K70" i="8" s="1"/>
  <c r="N21" i="8"/>
  <c r="P21" i="8" s="1"/>
  <c r="L377" i="8"/>
  <c r="O377" i="8" s="1"/>
  <c r="M72" i="8"/>
  <c r="P72" i="8" s="1"/>
  <c r="P74" i="8"/>
  <c r="L266" i="7"/>
  <c r="O266" i="7" s="1"/>
  <c r="P46" i="8"/>
  <c r="M44" i="8"/>
  <c r="M20" i="8"/>
  <c r="M18" i="8" s="1"/>
  <c r="P23" i="8"/>
  <c r="O44" i="8"/>
  <c r="L266" i="8"/>
  <c r="O266" i="8" s="1"/>
  <c r="O268" i="8"/>
  <c r="P19" i="8"/>
  <c r="L232" i="8"/>
  <c r="L303" i="8"/>
  <c r="O303" i="8" s="1"/>
  <c r="M356" i="8"/>
  <c r="P356" i="8" s="1"/>
  <c r="P46" i="7"/>
  <c r="L173" i="7"/>
  <c r="O173" i="7" s="1"/>
  <c r="O61" i="7"/>
  <c r="P173" i="7"/>
  <c r="M157" i="6"/>
  <c r="P157" i="6" s="1"/>
  <c r="O322" i="5"/>
  <c r="L282" i="7"/>
  <c r="O282" i="7" s="1"/>
  <c r="P176" i="7"/>
  <c r="P175" i="7"/>
  <c r="O44" i="7"/>
  <c r="L94" i="7"/>
  <c r="O94" i="7" s="1"/>
  <c r="O176" i="7"/>
  <c r="N186" i="7"/>
  <c r="N40" i="7" s="1"/>
  <c r="O305" i="1"/>
  <c r="L320" i="7"/>
  <c r="O320" i="7" s="1"/>
  <c r="M282" i="7"/>
  <c r="P282" i="7" s="1"/>
  <c r="K242" i="7"/>
  <c r="I231" i="7"/>
  <c r="L59" i="7"/>
  <c r="O59" i="7" s="1"/>
  <c r="M125" i="7"/>
  <c r="P125" i="7" s="1"/>
  <c r="P127" i="7"/>
  <c r="M139" i="7"/>
  <c r="P139" i="7" s="1"/>
  <c r="M320" i="7"/>
  <c r="P320" i="7" s="1"/>
  <c r="P62" i="7"/>
  <c r="O127" i="7"/>
  <c r="M333" i="7"/>
  <c r="P333" i="7" s="1"/>
  <c r="O141" i="7"/>
  <c r="K82" i="7"/>
  <c r="L72" i="7"/>
  <c r="O72" i="7" s="1"/>
  <c r="M157" i="7"/>
  <c r="P157" i="7" s="1"/>
  <c r="P59" i="7"/>
  <c r="P61" i="7"/>
  <c r="L20" i="7"/>
  <c r="L18" i="7" s="1"/>
  <c r="O23" i="7"/>
  <c r="L125" i="5"/>
  <c r="O125" i="5" s="1"/>
  <c r="K332" i="6"/>
  <c r="M24" i="7"/>
  <c r="P24" i="7" s="1"/>
  <c r="M186" i="7"/>
  <c r="P188" i="7"/>
  <c r="O243" i="7"/>
  <c r="L232" i="7"/>
  <c r="L282" i="6"/>
  <c r="O282" i="6" s="1"/>
  <c r="O19" i="7"/>
  <c r="M266" i="7"/>
  <c r="P266" i="7" s="1"/>
  <c r="P268" i="7"/>
  <c r="O358" i="7"/>
  <c r="L356" i="7"/>
  <c r="O356" i="7" s="1"/>
  <c r="M44" i="7"/>
  <c r="M21" i="7"/>
  <c r="M20" i="7"/>
  <c r="P23" i="7"/>
  <c r="L21" i="7"/>
  <c r="O268" i="6"/>
  <c r="M320" i="6"/>
  <c r="P320" i="6" s="1"/>
  <c r="P358" i="6"/>
  <c r="O46" i="7"/>
  <c r="L377" i="7"/>
  <c r="O377" i="7" s="1"/>
  <c r="P46" i="5"/>
  <c r="O74" i="6"/>
  <c r="N20" i="7"/>
  <c r="N18" i="7" s="1"/>
  <c r="N21" i="7"/>
  <c r="P96" i="7"/>
  <c r="M94" i="7"/>
  <c r="P94" i="7" s="1"/>
  <c r="M72" i="7"/>
  <c r="P72" i="7" s="1"/>
  <c r="M303" i="7"/>
  <c r="P303" i="7" s="1"/>
  <c r="P305" i="7"/>
  <c r="L24" i="7"/>
  <c r="O24" i="7" s="1"/>
  <c r="O335" i="7"/>
  <c r="L333" i="7"/>
  <c r="M377" i="7"/>
  <c r="P377" i="7" s="1"/>
  <c r="P379" i="7"/>
  <c r="M356" i="7"/>
  <c r="P356" i="7" s="1"/>
  <c r="O358" i="6"/>
  <c r="O159" i="6"/>
  <c r="M157" i="5"/>
  <c r="P157" i="5" s="1"/>
  <c r="M94" i="6"/>
  <c r="P94" i="6" s="1"/>
  <c r="P335" i="3"/>
  <c r="L303" i="5"/>
  <c r="O303" i="5" s="1"/>
  <c r="P335" i="5"/>
  <c r="L24" i="6"/>
  <c r="O24" i="6" s="1"/>
  <c r="O359" i="6"/>
  <c r="M356" i="6"/>
  <c r="P356" i="6" s="1"/>
  <c r="L72" i="4"/>
  <c r="O72" i="4" s="1"/>
  <c r="L157" i="6"/>
  <c r="O157" i="6" s="1"/>
  <c r="O379" i="6"/>
  <c r="M173" i="5"/>
  <c r="P173" i="5" s="1"/>
  <c r="M139" i="6"/>
  <c r="P139" i="6" s="1"/>
  <c r="O175" i="6"/>
  <c r="P356" i="4"/>
  <c r="P61" i="5"/>
  <c r="P268" i="6"/>
  <c r="K332" i="5"/>
  <c r="P358" i="5"/>
  <c r="P379" i="6"/>
  <c r="L320" i="6"/>
  <c r="O320" i="6" s="1"/>
  <c r="M72" i="5"/>
  <c r="P72" i="5" s="1"/>
  <c r="L139" i="6"/>
  <c r="O139" i="6" s="1"/>
  <c r="P335" i="6"/>
  <c r="M333" i="6"/>
  <c r="P333" i="6" s="1"/>
  <c r="M44" i="6"/>
  <c r="P46" i="6"/>
  <c r="M94" i="5"/>
  <c r="P94" i="5" s="1"/>
  <c r="M44" i="5"/>
  <c r="P44" i="5" s="1"/>
  <c r="P333" i="5"/>
  <c r="O61" i="6"/>
  <c r="L59" i="6"/>
  <c r="O59" i="6" s="1"/>
  <c r="M24" i="6"/>
  <c r="P24" i="6" s="1"/>
  <c r="P26" i="6"/>
  <c r="M72" i="6"/>
  <c r="P72" i="6" s="1"/>
  <c r="P175" i="6"/>
  <c r="M173" i="6"/>
  <c r="P173" i="6" s="1"/>
  <c r="P59" i="6"/>
  <c r="L125" i="6"/>
  <c r="O125" i="6" s="1"/>
  <c r="M20" i="6"/>
  <c r="P23" i="6"/>
  <c r="M21" i="6"/>
  <c r="P305" i="6"/>
  <c r="N303" i="6"/>
  <c r="P303" i="6" s="1"/>
  <c r="O335" i="6"/>
  <c r="L333" i="6"/>
  <c r="O333" i="6" s="1"/>
  <c r="O188" i="6"/>
  <c r="L186" i="6"/>
  <c r="P127" i="6"/>
  <c r="M125" i="6"/>
  <c r="P125" i="6" s="1"/>
  <c r="N186" i="6"/>
  <c r="P186" i="6" s="1"/>
  <c r="P188" i="6"/>
  <c r="M356" i="5"/>
  <c r="P356" i="5" s="1"/>
  <c r="I70" i="6"/>
  <c r="K70" i="6" s="1"/>
  <c r="K82" i="6"/>
  <c r="K83" i="6"/>
  <c r="I71" i="6"/>
  <c r="K71" i="6" s="1"/>
  <c r="O46" i="6"/>
  <c r="P61" i="3"/>
  <c r="L125" i="4"/>
  <c r="O125" i="4" s="1"/>
  <c r="O358" i="5"/>
  <c r="O335" i="5"/>
  <c r="O62" i="6"/>
  <c r="P61" i="6"/>
  <c r="L94" i="6"/>
  <c r="O94" i="6" s="1"/>
  <c r="O96" i="6"/>
  <c r="O173" i="6"/>
  <c r="L232" i="6"/>
  <c r="O243" i="6"/>
  <c r="O44" i="6"/>
  <c r="O62" i="5"/>
  <c r="L20" i="6"/>
  <c r="O23" i="6"/>
  <c r="N20" i="6"/>
  <c r="N18" i="6" s="1"/>
  <c r="N21" i="6"/>
  <c r="I231" i="6"/>
  <c r="K242" i="6"/>
  <c r="L21" i="6"/>
  <c r="L356" i="6"/>
  <c r="O356" i="6" s="1"/>
  <c r="L333" i="5"/>
  <c r="O333" i="5" s="1"/>
  <c r="M266" i="5"/>
  <c r="P266" i="5" s="1"/>
  <c r="O46" i="5"/>
  <c r="O336" i="5"/>
  <c r="L72" i="5"/>
  <c r="O72" i="5" s="1"/>
  <c r="P142" i="5"/>
  <c r="M59" i="5"/>
  <c r="P59" i="5" s="1"/>
  <c r="O336" i="4"/>
  <c r="M303" i="5"/>
  <c r="P303" i="5" s="1"/>
  <c r="O159" i="5"/>
  <c r="O46" i="4"/>
  <c r="P47" i="5"/>
  <c r="O175" i="5"/>
  <c r="L173" i="5"/>
  <c r="O173" i="5" s="1"/>
  <c r="O268" i="5"/>
  <c r="L266" i="5"/>
  <c r="O266" i="5" s="1"/>
  <c r="O141" i="5"/>
  <c r="O141" i="4"/>
  <c r="M20" i="5"/>
  <c r="P23" i="5"/>
  <c r="L232" i="5"/>
  <c r="O243" i="5"/>
  <c r="O188" i="5"/>
  <c r="L186" i="5"/>
  <c r="O186" i="5" s="1"/>
  <c r="O61" i="5"/>
  <c r="L59" i="5"/>
  <c r="O59" i="5" s="1"/>
  <c r="P322" i="5"/>
  <c r="M320" i="5"/>
  <c r="K83" i="5"/>
  <c r="I71" i="5"/>
  <c r="K71" i="5" s="1"/>
  <c r="O306" i="4"/>
  <c r="P305" i="4"/>
  <c r="P127" i="5"/>
  <c r="M125" i="5"/>
  <c r="P125" i="5" s="1"/>
  <c r="O19" i="5"/>
  <c r="M24" i="5"/>
  <c r="P24" i="5" s="1"/>
  <c r="L282" i="5"/>
  <c r="O282" i="5" s="1"/>
  <c r="L94" i="5"/>
  <c r="O94" i="5" s="1"/>
  <c r="K82" i="5"/>
  <c r="I70" i="5"/>
  <c r="K70" i="5" s="1"/>
  <c r="N320" i="5"/>
  <c r="O320" i="5" s="1"/>
  <c r="M157" i="4"/>
  <c r="P157" i="4" s="1"/>
  <c r="P303" i="4"/>
  <c r="P141" i="5"/>
  <c r="M139" i="5"/>
  <c r="P139" i="5" s="1"/>
  <c r="L139" i="5"/>
  <c r="O139" i="5" s="1"/>
  <c r="O44" i="5"/>
  <c r="L356" i="5"/>
  <c r="O356" i="5" s="1"/>
  <c r="O47" i="5"/>
  <c r="P322" i="4"/>
  <c r="O303" i="4"/>
  <c r="M21" i="5"/>
  <c r="P186" i="5"/>
  <c r="M282" i="5"/>
  <c r="P282" i="5" s="1"/>
  <c r="N20" i="5"/>
  <c r="N18" i="5" s="1"/>
  <c r="N21" i="5"/>
  <c r="O21" i="5" s="1"/>
  <c r="L24" i="5"/>
  <c r="O24" i="5" s="1"/>
  <c r="L377" i="5"/>
  <c r="O377" i="5" s="1"/>
  <c r="L125" i="3"/>
  <c r="O125" i="3" s="1"/>
  <c r="P336" i="4"/>
  <c r="O47" i="4"/>
  <c r="L20" i="5"/>
  <c r="L18" i="5" s="1"/>
  <c r="O23" i="5"/>
  <c r="P188" i="5"/>
  <c r="I231" i="5"/>
  <c r="K242" i="5"/>
  <c r="M377" i="5"/>
  <c r="P377" i="5" s="1"/>
  <c r="P379" i="5"/>
  <c r="M94" i="4"/>
  <c r="P94" i="4" s="1"/>
  <c r="N44" i="4"/>
  <c r="O44" i="4" s="1"/>
  <c r="P176" i="4"/>
  <c r="M377" i="4"/>
  <c r="P377" i="4" s="1"/>
  <c r="P175" i="4"/>
  <c r="O159" i="4"/>
  <c r="L157" i="4"/>
  <c r="O157" i="4" s="1"/>
  <c r="P61" i="4"/>
  <c r="O356" i="4"/>
  <c r="M266" i="4"/>
  <c r="P266" i="4" s="1"/>
  <c r="M59" i="4"/>
  <c r="P59" i="4" s="1"/>
  <c r="O335" i="4"/>
  <c r="O322" i="4"/>
  <c r="P333" i="4"/>
  <c r="L282" i="4"/>
  <c r="O282" i="4" s="1"/>
  <c r="O173" i="4"/>
  <c r="P335" i="4"/>
  <c r="P47" i="3"/>
  <c r="O203" i="1"/>
  <c r="N139" i="4"/>
  <c r="O139" i="4" s="1"/>
  <c r="O305" i="4"/>
  <c r="P358" i="4"/>
  <c r="O175" i="4"/>
  <c r="L24" i="4"/>
  <c r="O24" i="4" s="1"/>
  <c r="O323" i="1"/>
  <c r="O97" i="1"/>
  <c r="O358" i="4"/>
  <c r="M20" i="4"/>
  <c r="P23" i="4"/>
  <c r="O61" i="4"/>
  <c r="L59" i="4"/>
  <c r="O59" i="4" s="1"/>
  <c r="I70" i="4"/>
  <c r="K70" i="4" s="1"/>
  <c r="K82" i="4"/>
  <c r="P46" i="3"/>
  <c r="M282" i="3"/>
  <c r="P282" i="3" s="1"/>
  <c r="M21" i="4"/>
  <c r="M24" i="4"/>
  <c r="P24" i="4" s="1"/>
  <c r="P26" i="4"/>
  <c r="P173" i="4"/>
  <c r="K83" i="4"/>
  <c r="I71" i="4"/>
  <c r="K71" i="4" s="1"/>
  <c r="O96" i="4"/>
  <c r="L94" i="4"/>
  <c r="O94" i="4" s="1"/>
  <c r="O243" i="4"/>
  <c r="L232" i="4"/>
  <c r="O188" i="4"/>
  <c r="P284" i="4"/>
  <c r="M282" i="4"/>
  <c r="P282" i="4" s="1"/>
  <c r="L266" i="4"/>
  <c r="O266" i="4" s="1"/>
  <c r="O175" i="3"/>
  <c r="P175" i="3"/>
  <c r="P127" i="4"/>
  <c r="M125" i="4"/>
  <c r="P125" i="4" s="1"/>
  <c r="P358" i="1"/>
  <c r="M173" i="1"/>
  <c r="L20" i="4"/>
  <c r="O23" i="4"/>
  <c r="N20" i="4"/>
  <c r="N18" i="4" s="1"/>
  <c r="N21" i="4"/>
  <c r="O21" i="4" s="1"/>
  <c r="P186" i="4"/>
  <c r="M72" i="4"/>
  <c r="P72" i="4" s="1"/>
  <c r="P74" i="4"/>
  <c r="L377" i="4"/>
  <c r="O377" i="4" s="1"/>
  <c r="O379" i="4"/>
  <c r="P188" i="4"/>
  <c r="L333" i="4"/>
  <c r="O333" i="4" s="1"/>
  <c r="I231" i="4"/>
  <c r="K242" i="4"/>
  <c r="M44" i="4"/>
  <c r="P46" i="4"/>
  <c r="P141" i="4"/>
  <c r="M139" i="4"/>
  <c r="O186" i="4"/>
  <c r="O159" i="2"/>
  <c r="M72" i="2"/>
  <c r="P72" i="2" s="1"/>
  <c r="P188" i="3"/>
  <c r="P189" i="2"/>
  <c r="L282" i="3"/>
  <c r="O282" i="3" s="1"/>
  <c r="M94" i="3"/>
  <c r="P94" i="3" s="1"/>
  <c r="O333" i="3"/>
  <c r="O336" i="3"/>
  <c r="L266" i="3"/>
  <c r="O266" i="3" s="1"/>
  <c r="I70" i="3"/>
  <c r="K70" i="3" s="1"/>
  <c r="N59" i="3"/>
  <c r="P59" i="3" s="1"/>
  <c r="I71" i="3"/>
  <c r="K71" i="3" s="1"/>
  <c r="O359" i="1"/>
  <c r="O46" i="3"/>
  <c r="P336" i="3"/>
  <c r="M173" i="3"/>
  <c r="P173" i="3" s="1"/>
  <c r="O335" i="3"/>
  <c r="M303" i="3"/>
  <c r="P303" i="3" s="1"/>
  <c r="O176" i="3"/>
  <c r="P159" i="3"/>
  <c r="N186" i="3"/>
  <c r="P186" i="3" s="1"/>
  <c r="L303" i="3"/>
  <c r="O303" i="3" s="1"/>
  <c r="M320" i="3"/>
  <c r="P320" i="3" s="1"/>
  <c r="P74" i="3"/>
  <c r="P359" i="3"/>
  <c r="M377" i="3"/>
  <c r="P377" i="3" s="1"/>
  <c r="P96" i="1"/>
  <c r="P186" i="2"/>
  <c r="L157" i="3"/>
  <c r="O157" i="3" s="1"/>
  <c r="L139" i="3"/>
  <c r="O139" i="3" s="1"/>
  <c r="P358" i="3"/>
  <c r="N21" i="3"/>
  <c r="P21" i="3" s="1"/>
  <c r="N20" i="3"/>
  <c r="N18" i="3" s="1"/>
  <c r="L59" i="3"/>
  <c r="O61" i="3"/>
  <c r="O189" i="3"/>
  <c r="N356" i="1"/>
  <c r="P356" i="1" s="1"/>
  <c r="P74" i="1"/>
  <c r="P23" i="3"/>
  <c r="M20" i="3"/>
  <c r="M18" i="3" s="1"/>
  <c r="M125" i="3"/>
  <c r="P125" i="3" s="1"/>
  <c r="P127" i="3"/>
  <c r="O19" i="3"/>
  <c r="L232" i="3"/>
  <c r="O243" i="3"/>
  <c r="L20" i="3"/>
  <c r="L18" i="3" s="1"/>
  <c r="O23" i="3"/>
  <c r="L173" i="3"/>
  <c r="O173" i="3" s="1"/>
  <c r="M356" i="3"/>
  <c r="P356" i="3" s="1"/>
  <c r="M266" i="3"/>
  <c r="P266" i="3" s="1"/>
  <c r="P268" i="3"/>
  <c r="P19" i="3"/>
  <c r="P175" i="1"/>
  <c r="O222" i="1"/>
  <c r="P141" i="3"/>
  <c r="M139" i="3"/>
  <c r="P139" i="3" s="1"/>
  <c r="O359" i="3"/>
  <c r="L44" i="3"/>
  <c r="L377" i="3"/>
  <c r="O377" i="3" s="1"/>
  <c r="P284" i="1"/>
  <c r="P335" i="1"/>
  <c r="L94" i="2"/>
  <c r="O94" i="2" s="1"/>
  <c r="M266" i="2"/>
  <c r="P266" i="2" s="1"/>
  <c r="M157" i="2"/>
  <c r="P157" i="2" s="1"/>
  <c r="O188" i="3"/>
  <c r="L186" i="3"/>
  <c r="L94" i="3"/>
  <c r="O94" i="3" s="1"/>
  <c r="L24" i="3"/>
  <c r="O24" i="3" s="1"/>
  <c r="L72" i="3"/>
  <c r="O72" i="3" s="1"/>
  <c r="P62" i="3"/>
  <c r="O62" i="3"/>
  <c r="M333" i="3"/>
  <c r="P333" i="3" s="1"/>
  <c r="P44" i="3"/>
  <c r="I231" i="3"/>
  <c r="O322" i="3"/>
  <c r="L320" i="3"/>
  <c r="O320" i="3" s="1"/>
  <c r="M24" i="3"/>
  <c r="P24" i="3" s="1"/>
  <c r="O358" i="3"/>
  <c r="L356" i="3"/>
  <c r="O356" i="3" s="1"/>
  <c r="O59" i="2"/>
  <c r="P174" i="1"/>
  <c r="N24" i="1"/>
  <c r="O141" i="2"/>
  <c r="P359" i="1"/>
  <c r="O61" i="2"/>
  <c r="N377" i="1"/>
  <c r="P46" i="2"/>
  <c r="L125" i="2"/>
  <c r="O125" i="2" s="1"/>
  <c r="P61" i="2"/>
  <c r="I231" i="2"/>
  <c r="K231" i="2" s="1"/>
  <c r="M24" i="2"/>
  <c r="P24" i="2" s="1"/>
  <c r="O175" i="1"/>
  <c r="P189" i="1"/>
  <c r="P142" i="1"/>
  <c r="O336" i="1"/>
  <c r="M377" i="2"/>
  <c r="P377" i="2" s="1"/>
  <c r="O142" i="1"/>
  <c r="O322" i="1"/>
  <c r="P97" i="1"/>
  <c r="I71" i="2"/>
  <c r="K71" i="2" s="1"/>
  <c r="N157" i="1"/>
  <c r="N333" i="1"/>
  <c r="P175" i="2"/>
  <c r="O176" i="1"/>
  <c r="O46" i="2"/>
  <c r="L44" i="2"/>
  <c r="O44" i="2" s="1"/>
  <c r="P188" i="2"/>
  <c r="P188" i="1"/>
  <c r="L157" i="2"/>
  <c r="O157" i="2" s="1"/>
  <c r="P335" i="2"/>
  <c r="P320" i="2"/>
  <c r="O189" i="2"/>
  <c r="P322" i="1"/>
  <c r="O61" i="1"/>
  <c r="O23" i="1"/>
  <c r="O189" i="1"/>
  <c r="L266" i="2"/>
  <c r="O266" i="2" s="1"/>
  <c r="M303" i="2"/>
  <c r="P303" i="2" s="1"/>
  <c r="P284" i="2"/>
  <c r="M282" i="2"/>
  <c r="P282" i="2" s="1"/>
  <c r="P285" i="1"/>
  <c r="O379" i="2"/>
  <c r="L377" i="2"/>
  <c r="O377" i="2" s="1"/>
  <c r="N173" i="2"/>
  <c r="P173" i="2" s="1"/>
  <c r="O358" i="2"/>
  <c r="P305" i="1"/>
  <c r="N282" i="1"/>
  <c r="O188" i="1"/>
  <c r="P61" i="1"/>
  <c r="P23" i="2"/>
  <c r="M20" i="2"/>
  <c r="M18" i="2" s="1"/>
  <c r="N20" i="2"/>
  <c r="N18" i="2" s="1"/>
  <c r="N21" i="2"/>
  <c r="P21" i="2" s="1"/>
  <c r="K82" i="2"/>
  <c r="I70" i="2"/>
  <c r="K70" i="2" s="1"/>
  <c r="L232" i="2"/>
  <c r="O243" i="2"/>
  <c r="L20" i="2"/>
  <c r="O23" i="2"/>
  <c r="O322" i="2"/>
  <c r="L320" i="2"/>
  <c r="O320" i="2" s="1"/>
  <c r="O26" i="2"/>
  <c r="L24" i="2"/>
  <c r="O24" i="2" s="1"/>
  <c r="O356" i="2"/>
  <c r="O285" i="1"/>
  <c r="O160" i="1"/>
  <c r="O214" i="1"/>
  <c r="M125" i="2"/>
  <c r="P125" i="2" s="1"/>
  <c r="P127" i="2"/>
  <c r="O62" i="2"/>
  <c r="P62" i="2"/>
  <c r="L282" i="2"/>
  <c r="O282" i="2" s="1"/>
  <c r="P59" i="2"/>
  <c r="P322" i="2"/>
  <c r="P141" i="2"/>
  <c r="M139" i="2"/>
  <c r="P139" i="2" s="1"/>
  <c r="L139" i="2"/>
  <c r="O139" i="2" s="1"/>
  <c r="L186" i="2"/>
  <c r="O186" i="2" s="1"/>
  <c r="O188" i="2"/>
  <c r="L72" i="2"/>
  <c r="O72" i="2" s="1"/>
  <c r="P141" i="1"/>
  <c r="O284" i="1"/>
  <c r="P44" i="2"/>
  <c r="O175" i="2"/>
  <c r="P19" i="2"/>
  <c r="M94" i="2"/>
  <c r="P94" i="2" s="1"/>
  <c r="L303" i="2"/>
  <c r="O303" i="2" s="1"/>
  <c r="P358" i="2"/>
  <c r="M356" i="2"/>
  <c r="P356" i="2" s="1"/>
  <c r="N333" i="2"/>
  <c r="O333" i="2" s="1"/>
  <c r="O335" i="2"/>
  <c r="M333" i="2"/>
  <c r="O141" i="1"/>
  <c r="N72" i="1"/>
  <c r="O306" i="1"/>
  <c r="O74" i="1"/>
  <c r="P306" i="1"/>
  <c r="N303" i="1"/>
  <c r="N173" i="1"/>
  <c r="P75" i="1"/>
  <c r="N94" i="1"/>
  <c r="P357" i="1"/>
  <c r="P176" i="1"/>
  <c r="N186" i="1"/>
  <c r="N125" i="1"/>
  <c r="L125" i="1"/>
  <c r="O125" i="1" s="1"/>
  <c r="N139" i="1"/>
  <c r="O335" i="1"/>
  <c r="O96" i="1"/>
  <c r="O334" i="1"/>
  <c r="L333" i="1"/>
  <c r="P267" i="1"/>
  <c r="M266" i="1"/>
  <c r="P266" i="1" s="1"/>
  <c r="K82" i="1"/>
  <c r="I70" i="1"/>
  <c r="K70" i="1" s="1"/>
  <c r="L139" i="1"/>
  <c r="O357" i="1"/>
  <c r="L356" i="1"/>
  <c r="O75" i="1"/>
  <c r="L20" i="1"/>
  <c r="O232" i="1"/>
  <c r="N19" i="1"/>
  <c r="O321" i="1"/>
  <c r="L320" i="1"/>
  <c r="O320" i="1" s="1"/>
  <c r="O283" i="1"/>
  <c r="L282" i="1"/>
  <c r="M157" i="1"/>
  <c r="P157" i="1" s="1"/>
  <c r="P158" i="1"/>
  <c r="L266" i="1"/>
  <c r="O266" i="1" s="1"/>
  <c r="M44" i="1"/>
  <c r="P45" i="1"/>
  <c r="P62" i="1"/>
  <c r="P28" i="1"/>
  <c r="M27" i="1"/>
  <c r="P27" i="1" s="1"/>
  <c r="L24" i="1"/>
  <c r="O24" i="1" s="1"/>
  <c r="O25" i="1"/>
  <c r="P336" i="1"/>
  <c r="P304" i="1"/>
  <c r="M303" i="1"/>
  <c r="M320" i="1"/>
  <c r="P320" i="1" s="1"/>
  <c r="P321" i="1"/>
  <c r="M333" i="1"/>
  <c r="P334" i="1"/>
  <c r="P140" i="1"/>
  <c r="M139" i="1"/>
  <c r="P283" i="1"/>
  <c r="M282" i="1"/>
  <c r="P126" i="1"/>
  <c r="M125" i="1"/>
  <c r="P125" i="1" s="1"/>
  <c r="P187" i="1"/>
  <c r="M186" i="1"/>
  <c r="O159" i="1"/>
  <c r="L157" i="1"/>
  <c r="P73" i="1"/>
  <c r="M72" i="1"/>
  <c r="L173" i="1"/>
  <c r="O174" i="1"/>
  <c r="N20" i="1"/>
  <c r="N18" i="1" s="1"/>
  <c r="N21" i="1"/>
  <c r="L94" i="1"/>
  <c r="O95" i="1"/>
  <c r="L19" i="1"/>
  <c r="O22" i="1"/>
  <c r="L21" i="1"/>
  <c r="L44" i="1"/>
  <c r="O45" i="1"/>
  <c r="O187" i="1"/>
  <c r="L186" i="1"/>
  <c r="M59" i="1"/>
  <c r="P59" i="1" s="1"/>
  <c r="P60" i="1"/>
  <c r="P378" i="1"/>
  <c r="M377" i="1"/>
  <c r="P377" i="1" s="1"/>
  <c r="O304" i="1"/>
  <c r="L303" i="1"/>
  <c r="P323" i="1"/>
  <c r="P22" i="1"/>
  <c r="M19" i="1"/>
  <c r="M21" i="1"/>
  <c r="O62" i="1"/>
  <c r="O28" i="1"/>
  <c r="L27" i="1"/>
  <c r="O27" i="1" s="1"/>
  <c r="L377" i="1"/>
  <c r="O377" i="1" s="1"/>
  <c r="O378" i="1"/>
  <c r="I169" i="1"/>
  <c r="K169" i="1" s="1"/>
  <c r="K168" i="1"/>
  <c r="M20" i="1"/>
  <c r="P25" i="1"/>
  <c r="M24" i="1"/>
  <c r="P24" i="1" s="1"/>
  <c r="I71" i="1"/>
  <c r="K71" i="1" s="1"/>
  <c r="K83" i="1"/>
  <c r="P95" i="1"/>
  <c r="M94" i="1"/>
  <c r="P47" i="1"/>
  <c r="L59" i="1"/>
  <c r="O59" i="1" s="1"/>
  <c r="O60" i="1"/>
  <c r="O47" i="1"/>
  <c r="P23" i="1"/>
  <c r="I185" i="21" l="1"/>
  <c r="K185" i="21" s="1"/>
  <c r="O18" i="22"/>
  <c r="L40" i="22"/>
  <c r="O40" i="22" s="1"/>
  <c r="K231" i="22"/>
  <c r="I185" i="22"/>
  <c r="K185" i="22" s="1"/>
  <c r="O20" i="22"/>
  <c r="P21" i="22"/>
  <c r="P44" i="22"/>
  <c r="M40" i="22"/>
  <c r="P40" i="22" s="1"/>
  <c r="P20" i="22"/>
  <c r="M18" i="22"/>
  <c r="P18" i="22" s="1"/>
  <c r="P173" i="21"/>
  <c r="N40" i="21"/>
  <c r="I185" i="20"/>
  <c r="K185" i="20" s="1"/>
  <c r="P186" i="21"/>
  <c r="M40" i="21"/>
  <c r="P21" i="21"/>
  <c r="P356" i="21"/>
  <c r="O21" i="21"/>
  <c r="P20" i="21"/>
  <c r="M18" i="21"/>
  <c r="P18" i="21" s="1"/>
  <c r="L40" i="21"/>
  <c r="O20" i="21"/>
  <c r="L18" i="21"/>
  <c r="O18" i="21" s="1"/>
  <c r="O21" i="19"/>
  <c r="P21" i="20"/>
  <c r="P21" i="19"/>
  <c r="P44" i="20"/>
  <c r="M40" i="20"/>
  <c r="P40" i="20" s="1"/>
  <c r="L40" i="20"/>
  <c r="O40" i="20" s="1"/>
  <c r="O20" i="20"/>
  <c r="L18" i="20"/>
  <c r="O18" i="20" s="1"/>
  <c r="K231" i="17"/>
  <c r="P20" i="20"/>
  <c r="M18" i="20"/>
  <c r="P18" i="20" s="1"/>
  <c r="O18" i="19"/>
  <c r="O72" i="17"/>
  <c r="L40" i="19"/>
  <c r="O40" i="19" s="1"/>
  <c r="O20" i="19"/>
  <c r="I185" i="18"/>
  <c r="K185" i="18" s="1"/>
  <c r="K231" i="19"/>
  <c r="I185" i="19"/>
  <c r="K185" i="19" s="1"/>
  <c r="P20" i="19"/>
  <c r="M18" i="19"/>
  <c r="P18" i="19" s="1"/>
  <c r="P44" i="19"/>
  <c r="M40" i="19"/>
  <c r="P40" i="19" s="1"/>
  <c r="O21" i="18"/>
  <c r="N40" i="18"/>
  <c r="P320" i="18"/>
  <c r="O18" i="18"/>
  <c r="P21" i="18"/>
  <c r="L40" i="18"/>
  <c r="M40" i="18"/>
  <c r="P20" i="18"/>
  <c r="M18" i="18"/>
  <c r="P18" i="18" s="1"/>
  <c r="O20" i="18"/>
  <c r="O21" i="17"/>
  <c r="P186" i="17"/>
  <c r="O20" i="17"/>
  <c r="O173" i="14"/>
  <c r="P21" i="16"/>
  <c r="N40" i="17"/>
  <c r="L18" i="17"/>
  <c r="O18" i="17" s="1"/>
  <c r="O59" i="17"/>
  <c r="L40" i="17"/>
  <c r="P20" i="17"/>
  <c r="M18" i="17"/>
  <c r="P18" i="17" s="1"/>
  <c r="P44" i="17"/>
  <c r="M40" i="17"/>
  <c r="O303" i="17"/>
  <c r="K231" i="14"/>
  <c r="O18" i="15"/>
  <c r="P20" i="16"/>
  <c r="M18" i="16"/>
  <c r="P18" i="16" s="1"/>
  <c r="O20" i="16"/>
  <c r="L18" i="16"/>
  <c r="O18" i="16" s="1"/>
  <c r="I185" i="16"/>
  <c r="K185" i="16" s="1"/>
  <c r="K231" i="16"/>
  <c r="P59" i="16"/>
  <c r="M40" i="16"/>
  <c r="O333" i="16"/>
  <c r="N40" i="16"/>
  <c r="P44" i="16"/>
  <c r="L40" i="16"/>
  <c r="O44" i="16"/>
  <c r="N40" i="14"/>
  <c r="M40" i="15"/>
  <c r="P40" i="15" s="1"/>
  <c r="P20" i="15"/>
  <c r="M18" i="15"/>
  <c r="P18" i="15" s="1"/>
  <c r="O20" i="15"/>
  <c r="K231" i="15"/>
  <c r="I185" i="15"/>
  <c r="K185" i="15" s="1"/>
  <c r="O21" i="15"/>
  <c r="L40" i="15"/>
  <c r="O40" i="15" s="1"/>
  <c r="P44" i="14"/>
  <c r="O44" i="14"/>
  <c r="O21" i="14"/>
  <c r="L40" i="14"/>
  <c r="M40" i="14"/>
  <c r="O20" i="14"/>
  <c r="P20" i="14"/>
  <c r="M18" i="14"/>
  <c r="P18" i="14" s="1"/>
  <c r="L18" i="14"/>
  <c r="O18" i="14" s="1"/>
  <c r="O303" i="13"/>
  <c r="N40" i="13"/>
  <c r="O18" i="13"/>
  <c r="O21" i="13"/>
  <c r="P21" i="13"/>
  <c r="P44" i="13"/>
  <c r="M40" i="13"/>
  <c r="P20" i="13"/>
  <c r="M18" i="13"/>
  <c r="P18" i="13" s="1"/>
  <c r="O59" i="13"/>
  <c r="L40" i="13"/>
  <c r="O20" i="13"/>
  <c r="N40" i="11"/>
  <c r="O21" i="12"/>
  <c r="O186" i="11"/>
  <c r="O303" i="12"/>
  <c r="O356" i="12"/>
  <c r="O20" i="12"/>
  <c r="L18" i="12"/>
  <c r="O18" i="12" s="1"/>
  <c r="L40" i="12"/>
  <c r="N40" i="12"/>
  <c r="P20" i="12"/>
  <c r="M18" i="12"/>
  <c r="P18" i="12" s="1"/>
  <c r="P21" i="12"/>
  <c r="O173" i="11"/>
  <c r="M40" i="12"/>
  <c r="K231" i="12"/>
  <c r="I185" i="12"/>
  <c r="K185" i="12" s="1"/>
  <c r="P333" i="12"/>
  <c r="O20" i="11"/>
  <c r="O20" i="10"/>
  <c r="M40" i="11"/>
  <c r="O72" i="1"/>
  <c r="P21" i="11"/>
  <c r="L18" i="11"/>
  <c r="O18" i="11" s="1"/>
  <c r="L40" i="11"/>
  <c r="P20" i="11"/>
  <c r="M18" i="11"/>
  <c r="P18" i="11" s="1"/>
  <c r="I185" i="8"/>
  <c r="K185" i="8" s="1"/>
  <c r="L18" i="10"/>
  <c r="O18" i="10" s="1"/>
  <c r="O173" i="10"/>
  <c r="O21" i="10"/>
  <c r="L40" i="10"/>
  <c r="P20" i="10"/>
  <c r="M18" i="10"/>
  <c r="P18" i="10" s="1"/>
  <c r="P44" i="10"/>
  <c r="M40" i="10"/>
  <c r="O186" i="10"/>
  <c r="N40" i="10"/>
  <c r="N40" i="9"/>
  <c r="P44" i="9"/>
  <c r="O20" i="9"/>
  <c r="L18" i="9"/>
  <c r="O18" i="9" s="1"/>
  <c r="P59" i="9"/>
  <c r="O59" i="9"/>
  <c r="M40" i="9"/>
  <c r="O72" i="9"/>
  <c r="L40" i="9"/>
  <c r="K231" i="9"/>
  <c r="I185" i="9"/>
  <c r="K185" i="9" s="1"/>
  <c r="P20" i="9"/>
  <c r="M18" i="9"/>
  <c r="P18" i="9" s="1"/>
  <c r="P21" i="9"/>
  <c r="P20" i="8"/>
  <c r="P18" i="8"/>
  <c r="O186" i="7"/>
  <c r="P44" i="8"/>
  <c r="M40" i="8"/>
  <c r="P40" i="8" s="1"/>
  <c r="O21" i="8"/>
  <c r="L40" i="8"/>
  <c r="O40" i="8" s="1"/>
  <c r="P186" i="7"/>
  <c r="O20" i="8"/>
  <c r="L18" i="8"/>
  <c r="O18" i="8" s="1"/>
  <c r="P21" i="7"/>
  <c r="O18" i="7"/>
  <c r="K231" i="7"/>
  <c r="I185" i="7"/>
  <c r="K185" i="7" s="1"/>
  <c r="P44" i="7"/>
  <c r="M40" i="7"/>
  <c r="P40" i="7" s="1"/>
  <c r="O333" i="7"/>
  <c r="L40" i="7"/>
  <c r="O40" i="7" s="1"/>
  <c r="O21" i="7"/>
  <c r="O303" i="6"/>
  <c r="P20" i="7"/>
  <c r="M18" i="7"/>
  <c r="P18" i="7" s="1"/>
  <c r="O20" i="7"/>
  <c r="O21" i="6"/>
  <c r="P21" i="6"/>
  <c r="K231" i="6"/>
  <c r="I185" i="6"/>
  <c r="K185" i="6" s="1"/>
  <c r="L40" i="6"/>
  <c r="P20" i="6"/>
  <c r="M18" i="6"/>
  <c r="P18" i="6" s="1"/>
  <c r="P320" i="5"/>
  <c r="O20" i="6"/>
  <c r="L18" i="6"/>
  <c r="O18" i="6" s="1"/>
  <c r="P44" i="6"/>
  <c r="M40" i="6"/>
  <c r="O186" i="6"/>
  <c r="N40" i="6"/>
  <c r="P21" i="5"/>
  <c r="K231" i="5"/>
  <c r="I185" i="5"/>
  <c r="K185" i="5" s="1"/>
  <c r="N40" i="5"/>
  <c r="L40" i="5"/>
  <c r="O20" i="5"/>
  <c r="M40" i="5"/>
  <c r="O18" i="5"/>
  <c r="P20" i="5"/>
  <c r="M18" i="5"/>
  <c r="P18" i="5" s="1"/>
  <c r="N40" i="4"/>
  <c r="P173" i="1"/>
  <c r="P139" i="4"/>
  <c r="O18" i="3"/>
  <c r="L40" i="4"/>
  <c r="P21" i="4"/>
  <c r="P44" i="4"/>
  <c r="M40" i="4"/>
  <c r="O59" i="3"/>
  <c r="O20" i="4"/>
  <c r="L18" i="4"/>
  <c r="O18" i="4" s="1"/>
  <c r="P20" i="4"/>
  <c r="M18" i="4"/>
  <c r="P18" i="4" s="1"/>
  <c r="K231" i="4"/>
  <c r="I185" i="4"/>
  <c r="K185" i="4" s="1"/>
  <c r="O186" i="3"/>
  <c r="N40" i="3"/>
  <c r="P18" i="2"/>
  <c r="O173" i="2"/>
  <c r="P303" i="1"/>
  <c r="M40" i="3"/>
  <c r="O21" i="3"/>
  <c r="P18" i="3"/>
  <c r="O356" i="1"/>
  <c r="O20" i="3"/>
  <c r="I185" i="2"/>
  <c r="K185" i="2" s="1"/>
  <c r="P20" i="3"/>
  <c r="L40" i="3"/>
  <c r="O44" i="3"/>
  <c r="K231" i="3"/>
  <c r="I185" i="3"/>
  <c r="K185" i="3" s="1"/>
  <c r="P186" i="1"/>
  <c r="P72" i="1"/>
  <c r="P333" i="1"/>
  <c r="O157" i="1"/>
  <c r="O333" i="1"/>
  <c r="P94" i="1"/>
  <c r="L40" i="2"/>
  <c r="P282" i="1"/>
  <c r="O21" i="2"/>
  <c r="O20" i="2"/>
  <c r="L18" i="2"/>
  <c r="O18" i="2" s="1"/>
  <c r="M40" i="2"/>
  <c r="N40" i="2"/>
  <c r="O186" i="1"/>
  <c r="O173" i="1"/>
  <c r="O282" i="1"/>
  <c r="P333" i="2"/>
  <c r="P20" i="2"/>
  <c r="O303" i="1"/>
  <c r="O94" i="1"/>
  <c r="N40" i="1"/>
  <c r="P21" i="1"/>
  <c r="O139" i="1"/>
  <c r="O21" i="1"/>
  <c r="P139" i="1"/>
  <c r="O20" i="1"/>
  <c r="P20" i="1"/>
  <c r="L18" i="1"/>
  <c r="O18" i="1" s="1"/>
  <c r="O19" i="1"/>
  <c r="P44" i="1"/>
  <c r="M40" i="1"/>
  <c r="P19" i="1"/>
  <c r="M18" i="1"/>
  <c r="P18" i="1" s="1"/>
  <c r="L40" i="1"/>
  <c r="O44" i="1"/>
  <c r="O40" i="14" l="1"/>
  <c r="P40" i="21"/>
  <c r="O40" i="21"/>
  <c r="P40" i="18"/>
  <c r="O40" i="18"/>
  <c r="P40" i="17"/>
  <c r="O40" i="17"/>
  <c r="P40" i="16"/>
  <c r="P40" i="9"/>
  <c r="O40" i="16"/>
  <c r="P40" i="14"/>
  <c r="P40" i="13"/>
  <c r="O40" i="13"/>
  <c r="O40" i="11"/>
  <c r="P40" i="11"/>
  <c r="P40" i="12"/>
  <c r="O40" i="12"/>
  <c r="P40" i="10"/>
  <c r="O40" i="9"/>
  <c r="O40" i="10"/>
  <c r="P40" i="6"/>
  <c r="O40" i="6"/>
  <c r="P40" i="4"/>
  <c r="P40" i="5"/>
  <c r="O40" i="5"/>
  <c r="O40" i="4"/>
  <c r="O40" i="3"/>
  <c r="P40" i="3"/>
  <c r="O40" i="1"/>
  <c r="P40" i="1"/>
  <c r="P40" i="2"/>
  <c r="O4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sharedStrings.xml><?xml version="1.0" encoding="utf-8"?>
<sst xmlns="http://schemas.openxmlformats.org/spreadsheetml/2006/main" count="15078" uniqueCount="276">
  <si>
    <t>รายละเอียดแผนงาน/โครงการ ผลผลิต/กิจกรรม ปีงบประมาณ พ.ศ. 2567</t>
  </si>
  <si>
    <t>รวมกลาง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</si>
  <si>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</si>
  <si>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</si>
  <si>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</si>
  <si>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</si>
  <si>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</si>
  <si>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</si>
  <si>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</si>
  <si>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</si>
  <si>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</si>
  <si>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</si>
  <si>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</si>
  <si>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</si>
  <si>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</si>
  <si>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</si>
  <si>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</si>
  <si>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</si>
  <si>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</si>
  <si>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</si>
  <si>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</si>
  <si>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</si>
  <si>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</si>
  <si>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</si>
  <si>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</si>
  <si>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</si>
  <si>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</si>
  <si>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</si>
  <si>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</si>
  <si>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</si>
  <si>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</si>
  <si>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</si>
  <si>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</si>
  <si>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</si>
  <si>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</si>
  <si>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</si>
  <si>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</si>
  <si>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</si>
  <si>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</si>
  <si>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</si>
  <si>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</si>
  <si>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</si>
  <si>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</si>
  <si>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</si>
  <si>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</si>
  <si>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</si>
  <si>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</si>
  <si>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</si>
  <si>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</si>
  <si>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</si>
  <si>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</si>
  <si>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</si>
  <si>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</si>
  <si>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</si>
  <si>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</si>
  <si>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</si>
  <si>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กลุ่ม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</si>
  <si>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</si>
  <si>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</si>
  <si>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</si>
  <si>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</si>
  <si>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</si>
  <si>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</si>
  <si>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</si>
  <si>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</si>
  <si>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</si>
  <si>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</si>
  <si>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</si>
  <si>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</si>
  <si>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</si>
  <si>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</si>
  <si>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</si>
  <si>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</si>
  <si>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</si>
  <si>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</si>
  <si>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</si>
  <si>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</si>
  <si>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</si>
  <si>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</si>
  <si>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</si>
  <si>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</si>
  <si>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</si>
  <si>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</si>
  <si>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</si>
  <si>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</si>
  <si>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</si>
  <si>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</si>
  <si>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</si>
  <si>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</si>
  <si>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</si>
  <si>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</si>
  <si>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</si>
  <si>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</si>
  <si>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</si>
  <si>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</si>
  <si>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</si>
  <si>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</si>
  <si>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</si>
  <si>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</si>
  <si>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</si>
  <si>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</si>
  <si>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</si>
  <si>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</si>
  <si>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</si>
  <si>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</si>
  <si>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</si>
  <si>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</si>
  <si>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</si>
  <si>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</si>
  <si>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</si>
  <si>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</si>
  <si>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</si>
  <si>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</si>
  <si>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</si>
  <si>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</si>
  <si>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</si>
  <si>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</si>
  <si>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</si>
  <si>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</si>
  <si>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</si>
  <si>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</si>
  <si>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</si>
  <si>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</si>
  <si>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</si>
  <si>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</si>
  <si>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</si>
  <si>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</si>
  <si>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</si>
  <si>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</si>
  <si>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</si>
  <si>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</si>
  <si>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</si>
  <si>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</si>
  <si>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</si>
  <si>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</si>
  <si>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</si>
  <si>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</si>
  <si>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</si>
  <si>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</si>
  <si>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</si>
  <si>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</si>
  <si>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</si>
  <si>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</si>
  <si>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</si>
  <si>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</si>
  <si>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</si>
  <si>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</si>
  <si>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</si>
  <si>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</si>
  <si>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</si>
  <si>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</si>
  <si>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หมายเหตุ :</t>
  </si>
  <si>
    <t>- งบบริหารโครงการ</t>
  </si>
  <si>
    <t>(5) โครงการพัฒนาพื้นที่สูงแบบโครงการหลวงห้วยเขย่ง</t>
  </si>
  <si>
    <t>- ค่าใช้จ่ายในการปฏิบัติงาน</t>
  </si>
  <si>
    <t>- ค่าใช้จ่ายในการบริหารงาน</t>
  </si>
  <si>
    <t>สำนักงานการปฏิรูปที่ดินจังหวัด กาญจนบุรี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</si>
  <si>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</si>
  <si>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</si>
  <si>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</si>
  <si>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</si>
  <si>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</si>
  <si>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</si>
  <si>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</si>
  <si>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จัดทำระวางแผนที่ต้นฉบับมาตราส่วน 1:4,000</t>
  </si>
  <si>
    <t>แปลงที่ดินผ่านการตรวจทานและรับรองมาตรฐานการสำรวจรังวัด</t>
  </si>
  <si>
    <t xml:space="preserve"> - ส.ป.ก.จังหวัด  </t>
  </si>
  <si>
    <t xml:space="preserve"> - ส.ป.ก.ส่วนกลาง </t>
  </si>
  <si>
    <t>ตามระเบียบ กมร.</t>
  </si>
  <si>
    <t>โครงการตรวจสอบมาตรฐานการสำรวจรังวัดและจัดทำระวางแผนที่</t>
  </si>
  <si>
    <t>* กิจกรรมที่ 1,2,5,6 ข้อมูลจาก ALRO Land Online</t>
  </si>
  <si>
    <t>- ยุติเรื่อง</t>
  </si>
  <si>
    <t>- อยู่ระหว่างแก้ไขปัญหา</t>
  </si>
  <si>
    <t>7. การเจรจาไกล่เกลี่ยข้อพิพาท</t>
  </si>
  <si>
    <t>- แบ่งแปลง</t>
  </si>
  <si>
    <t>- เต็มแปลง</t>
  </si>
  <si>
    <t>6. โอนสิทธิและมรดกสิทธิการเช่า/เช่าซื้อ เต็มแปลง/แบ่งแปลง *</t>
  </si>
  <si>
    <t>5. จดทะเบียนสิทธิและนิติกรรม (ตามสัญญาเช่าซื้อ) *</t>
  </si>
  <si>
    <t>- ดำเนินการเรียบร้อยแล้ว</t>
  </si>
  <si>
    <t>- อยู่ระหว่างยื่นดำเนินการ</t>
  </si>
  <si>
    <t>- แปลงยื่นสำรวจรังวัดแบ่งแยก</t>
  </si>
  <si>
    <t>- แปลงต้นขั้ว</t>
  </si>
  <si>
    <t>4. การสำรวจรังวัดแบ่งแยกในนามเดิมยื่นคำขอออกโฉนดที่ดินกับ สนง.ที่ดิน</t>
  </si>
  <si>
    <t>- การเช่าซื้อไปสู่การเช่า</t>
  </si>
  <si>
    <t>- การเช่าไปสู่การเช่าซื้อ</t>
  </si>
  <si>
    <t>3. ปรับปรุงสิทธิ</t>
  </si>
  <si>
    <t>2. จัดทำสัญญาเช่า/เช่าซื้อ (แปลงว่าง) *</t>
  </si>
  <si>
    <t>1. สำรวจรังวัดปูผังแบ่งแปลงที่ดิน (แปลงว่าง) *</t>
  </si>
  <si>
    <t>กิจกรรมการจัดที่ดินเอกชน 7 กิจกรรม</t>
  </si>
  <si>
    <t>- จดทะเบียนสิทธิและนิติกรรม และชำระมูลค่าที่ดิน</t>
  </si>
  <si>
    <t>- ประกาศเขตปฏิรูปที่ดิน</t>
  </si>
  <si>
    <t>- อำนาจ อกก.คง. เห็นชอบและอนุมัติ กรณีราคาเกิน 1.5 เท่า</t>
  </si>
  <si>
    <t>- อำนาจ คปจ. เห็นชอบและอนุมัติ กรณีราคาไม่เกิน 1.5 เท่า</t>
  </si>
  <si>
    <t>- นำเสนอ คปจ.</t>
  </si>
  <si>
    <t>2. จัดซื้อที่ดินงานต่อเนื่อง</t>
  </si>
  <si>
    <t>- นำเสนอ คปจ./อกก.คง.</t>
  </si>
  <si>
    <t>- คณะอนุกรรมการจัดซื้อที่ดินพิจารณาความเหมาะสมของที่ดิน</t>
  </si>
  <si>
    <t>- ตรวจสอบสภาพพื้นที่ แปลงที่ดิน การทำประโยชน์/ต่อรองราคา</t>
  </si>
  <si>
    <t>- รับคำเสนอขาย/ตรวจสอบความถูกต้องหนังสือแสดงสิทธิในที่ดิน</t>
  </si>
  <si>
    <t>- ปิดป้ายประชาสัมพันธ์เพื่อประกาศพื้นที่</t>
  </si>
  <si>
    <t>- จัดทำป้ายประชาสัมพันธ์เพื่อประกาศพื้นที่</t>
  </si>
  <si>
    <t>1. การจัดหาที่ดินเพื่อการจัดซื้อที่ดินเอกชน ปี 2566</t>
  </si>
  <si>
    <t>กิจกรรมการจัดหาที่ดินเอกชน</t>
  </si>
  <si>
    <t>โครงการบริหารจัดการที่ดินเอกชน</t>
  </si>
  <si>
    <t>- จัดทำสัญญาเข้าทำประโยชน์ (ส.ป.ก. 4-118)</t>
  </si>
  <si>
    <t>- คปจ.</t>
  </si>
  <si>
    <t>- กิจการสาธารณูปโภค</t>
  </si>
  <si>
    <t>- กิจการสนับสนุน</t>
  </si>
  <si>
    <t>- สำรวจรังวัด</t>
  </si>
  <si>
    <t>ชุุมชน</t>
  </si>
  <si>
    <t>- จัดทำเขตที่ดินชุมชน</t>
  </si>
  <si>
    <t>โครงการจัดที่ดินชุมชนในเขตปฏิรูปที่ดิน</t>
  </si>
  <si>
    <t>- หลักสูตร พัฒนาผู้นำเกษตรกร และเชื่อมโยงภาคีเครือข่าย (สพท.)</t>
  </si>
  <si>
    <t>- หลักสูตร ศึกษาดูงานเพื่อพัฒนาศักยภาพคณะกรรมการและสมาชิกฯ</t>
  </si>
  <si>
    <t>- หลักสูตร การพัฒนาสถาบันเกษตรกรในพื้นที่ คทช.</t>
  </si>
  <si>
    <t>- หลักสูตร ส่งเสริมพัฒนาอาชีพและการตลาด</t>
  </si>
  <si>
    <t>- หลักสูตร จัดทำ และสรุปทบทวนแผนชุมชน</t>
  </si>
  <si>
    <t>- จัดฝึกอบรมเกษตรกรตามหลักสูตร</t>
  </si>
  <si>
    <t>กิจกรรมยกระดับรายได้เกษตรกรในเขตปฏิรูปที่ดินเพื่อลดความเหลื่อมล้ำ</t>
  </si>
  <si>
    <t xml:space="preserve">โครงการส่งเสริมและพัฒนาอาชีพเพื่อแก้ไขปัญหาที่ดินทำกินของเกษตรกร </t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</si>
  <si>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</si>
  <si>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</si>
  <si>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t>- ขั้นที่ 2</t>
  </si>
  <si>
    <r>
      <rPr>
        <sz val="15"/>
        <color theme="1"/>
        <rFont val="Arial"/>
      </rPr>
      <t xml:space="preserve"> - เกษตรกรขั้นที่ 1 (เกษตรกรที่เข้าร่วมโครงก</t>
    </r>
    <r>
      <rPr>
        <sz val="15"/>
        <color rgb="FFFF0000"/>
        <rFont val="Arial"/>
      </rPr>
      <t>ารทั้งห</t>
    </r>
    <r>
      <rPr>
        <sz val="15"/>
        <color theme="1"/>
        <rFont val="Arial"/>
      </rPr>
      <t>มด)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</si>
  <si>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</si>
  <si>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t>- ขั้นที่ 1</t>
  </si>
  <si>
    <r>
      <rPr>
        <sz val="15"/>
        <color theme="1"/>
        <rFont val="Arial"/>
      </rPr>
      <t>- เกษตร</t>
    </r>
    <r>
      <rPr>
        <sz val="15"/>
        <color rgb="FFFF0000"/>
        <rFont val="Arial"/>
      </rPr>
      <t>กรเฉพ</t>
    </r>
    <r>
      <rPr>
        <sz val="15"/>
        <color theme="1"/>
        <rFont val="Arial"/>
      </rPr>
      <t>าะที่ได้รับการอบรม ขั้นที่ 3</t>
    </r>
  </si>
  <si>
    <r>
      <rPr>
        <sz val="15"/>
        <color theme="1"/>
        <rFont val="Arial"/>
      </rPr>
      <t xml:space="preserve">- เกษตรกรที่เข้าร่วมโครงการขั้นที่ </t>
    </r>
    <r>
      <rPr>
        <sz val="15"/>
        <color rgb="FFFF0000"/>
        <rFont val="Arial"/>
      </rPr>
      <t>3 ทั้งหมด</t>
    </r>
  </si>
  <si>
    <t>- ขั้นที่ 3</t>
  </si>
  <si>
    <r>
      <rPr>
        <sz val="15"/>
        <color theme="1"/>
        <rFont val="Arial"/>
      </rPr>
      <t>- เกษตร</t>
    </r>
    <r>
      <rPr>
        <sz val="15"/>
        <color rgb="FFFF0000"/>
        <rFont val="Arial"/>
      </rPr>
      <t>กรเฉพ</t>
    </r>
    <r>
      <rPr>
        <sz val="15"/>
        <color theme="1"/>
        <rFont val="Arial"/>
      </rPr>
      <t>าะที่ได้รับการอบรม ขั้นที่ 2</t>
    </r>
  </si>
  <si>
    <r>
      <rPr>
        <sz val="15"/>
        <color theme="1"/>
        <rFont val="Arial"/>
      </rPr>
      <t xml:space="preserve">- เกษตรกรที่เข้าร่วมโครงการขั้นที่ </t>
    </r>
    <r>
      <rPr>
        <sz val="15"/>
        <color rgb="FFFF0000"/>
        <rFont val="Arial"/>
      </rPr>
      <t>2 ทั้งหมด</t>
    </r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</si>
  <si>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</si>
  <si>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</t>
    </r>
    <r>
      <rPr>
        <sz val="15"/>
        <color rgb="FFFF0000"/>
        <rFont val="Arial"/>
      </rPr>
      <t>กรเฉพ</t>
    </r>
    <r>
      <rPr>
        <sz val="15"/>
        <color theme="1"/>
        <rFont val="Arial"/>
      </rPr>
      <t>าะที่ได้รับการอบรม ขั้นที่ 1</t>
    </r>
  </si>
  <si>
    <r>
      <rPr>
        <sz val="15"/>
        <color theme="1"/>
        <rFont val="Arial"/>
      </rPr>
      <t xml:space="preserve">- เกษตรกรที่เข้าร่วมโครงการขั้นที่ </t>
    </r>
    <r>
      <rPr>
        <sz val="15"/>
        <color rgb="FFFF0000"/>
        <rFont val="Arial"/>
      </rPr>
      <t>1 ทั้งหมด</t>
    </r>
  </si>
  <si>
    <t>โครงการส่งเสริมระบบวนเกษตรในเขตปฏิรูปที่ดิน</t>
  </si>
  <si>
    <t>- พื้นที่ในเขตปฏิรูปที่ดินได้รับการส่งเสริมเกษตรอินทรีย์</t>
  </si>
  <si>
    <t>โรงเรียนเกษตรกร (โดย ส.ป.ก.จังหวัด)</t>
  </si>
  <si>
    <t xml:space="preserve"> - อบรม หลักสูตรสำหรับส่งเสริมเกษตรอินทรีย์โดยใช้กระบวนการ</t>
  </si>
  <si>
    <t>(โดย สพท.)</t>
  </si>
  <si>
    <t xml:space="preserve"> - อบรม หลักสูตรสำหรับพัฒนาเจ้าหน้าที่ด้านการส่งเสริมเกษตรอินทรีย์</t>
  </si>
  <si>
    <t>โครงการส่งเสริมเกษตรอินทรีย์ในเขตปฏิรูปที่ดิน</t>
  </si>
  <si>
    <t>- หลักสูตร แนวทางการขับเคลื่อนการพัฒนาธุรกิจชุมชนสู่ความสำเร็จ</t>
  </si>
  <si>
    <t>- หลักสูตร การเพิ่มมูลค่าสินค้าและการพัฒนาช่องทางด้านการตลาด</t>
  </si>
  <si>
    <t xml:space="preserve"> - หลักสูตร การเสริมสร้างความเข้มแข็งและการบริหารจัดการธุรกิจ</t>
  </si>
  <si>
    <t>และสหกรณ์การเกษตรในเขตปฏิรูปที่ดิน</t>
  </si>
  <si>
    <t>อบรมเกษตรกร กลุ่มเกษตรกร วิสาหกิจชุมชน</t>
  </si>
  <si>
    <t>โครงการพัฒนาธุรกิจชุมชนในเขตปฏิรูปที่ดิน</t>
  </si>
  <si>
    <t>แผนงานยุทธศาสตร์เกษตรสร้างมูลค่า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</si>
  <si>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</si>
  <si>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งบประมาณกองทุนการปฏิรูปที่ดินเพื่อเกษตรกรรม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</si>
  <si>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</si>
  <si>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</si>
  <si>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</si>
  <si>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</si>
  <si>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</si>
  <si>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</si>
  <si>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</si>
  <si>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</si>
  <si>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</si>
  <si>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</si>
  <si>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</si>
  <si>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</si>
  <si>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</si>
  <si>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</si>
  <si>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</si>
  <si>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</si>
  <si>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</si>
  <si>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</si>
  <si>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</si>
  <si>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</si>
  <si>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</si>
  <si>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</si>
  <si>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</si>
  <si>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</si>
  <si>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</si>
  <si>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ม.ค.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</si>
</sst>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47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rgb="FF000000"/>
      <name val="Arial"/>
    </font>
    <font>
      <sz val="10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b/>
      <sz val="15"/>
      <color rgb="FFFF0000"/>
      <name val="Arial"/>
    </font>
    <font>
      <sz val="14"/>
      <color rgb="FFFF0000"/>
      <name val="Arial"/>
    </font>
    <font>
      <sz val="13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4"/>
      <color rgb="FF000000"/>
      <name val="Arial"/>
    </font>
    <font>
      <b/>
      <sz val="15"/>
      <color rgb="FFFFFFFF"/>
      <name val="Arial"/>
    </font>
    <font>
      <sz val="10"/>
      <color rgb="FFFFFFFF"/>
      <name val="Arial"/>
    </font>
    <font>
      <b/>
      <sz val="15"/>
      <color theme="1"/>
      <name val="Arial"/>
    </font>
    <font>
      <sz val="10"/>
      <color theme="1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sz val="10"/>
      <color rgb="FF000000"/>
      <name val="Arial"/>
      <scheme val="minor"/>
    </font>
    <font>
      <i/>
      <sz val="13"/>
      <color rgb="FF000000"/>
      <name val="Arial"/>
      <scheme val="minor"/>
    </font>
    <font>
      <u/>
      <sz val="15"/>
      <color rgb="FFFF0000"/>
      <name val="Arial"/>
    </font>
    <font>
      <u/>
      <sz val="15"/>
      <color theme="1"/>
      <name val="Arial"/>
    </font>
    <font>
      <sz val="10"/>
      <color theme="1"/>
      <name val="Arial"/>
      <scheme val="minor"/>
    </font>
    <font>
      <sz val="15"/>
      <color rgb="FFFF0000"/>
      <name val="Arial"/>
      <scheme val="minor"/>
    </font>
    <font>
      <i/>
      <sz val="15"/>
      <color rgb="FF999999"/>
      <name val="Arial"/>
    </font>
    <font>
      <sz val="14"/>
      <color theme="1"/>
      <name val="Arial"/>
    </font>
    <font>
      <b/>
      <sz val="10"/>
      <color theme="1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76A5AF"/>
        <bgColor rgb="FF76A5AF"/>
      </patternFill>
    </fill>
    <fill>
      <patternFill patternType="solid">
        <fgColor rgb="FFF7CAAC"/>
        <bgColor rgb="FFF7CAAC"/>
      </patternFill>
    </fill>
    <fill>
      <patternFill patternType="solid">
        <fgColor rgb="FFF4B083"/>
        <bgColor rgb="FFF4B083"/>
      </patternFill>
    </fill>
    <fill>
      <patternFill patternType="solid">
        <fgColor rgb="FFFF9933"/>
        <bgColor rgb="FFFF9933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124">
    <xf numFmtId="0" fontId="0" fillId="0" borderId="0" xfId="0" applyFont="1" applyAlignment="1"/>
    <xf numFmtId="0" fontId="2" fillId="2" borderId="0" xfId="0" applyFont="1" applyFill="1" applyAlignment="1"/>
    <xf numFmtId="187" fontId="2" fillId="2" borderId="0" xfId="0" applyNumberFormat="1" applyFont="1" applyFill="1" applyAlignment="1"/>
    <xf numFmtId="188" fontId="2" fillId="2" borderId="0" xfId="0" applyNumberFormat="1" applyFont="1" applyFill="1" applyAlignment="1"/>
    <xf numFmtId="0" fontId="1" fillId="3" borderId="4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188" fontId="1" fillId="4" borderId="12" xfId="0" applyNumberFormat="1" applyFont="1" applyFill="1" applyBorder="1" applyAlignment="1">
      <alignment horizontal="center"/>
    </xf>
    <xf numFmtId="187" fontId="1" fillId="4" borderId="12" xfId="0" applyNumberFormat="1" applyFont="1" applyFill="1" applyBorder="1" applyAlignment="1">
      <alignment horizontal="center" wrapText="1"/>
    </xf>
    <xf numFmtId="188" fontId="1" fillId="5" borderId="12" xfId="0" applyNumberFormat="1" applyFont="1" applyFill="1" applyBorder="1" applyAlignment="1">
      <alignment horizontal="center" wrapText="1"/>
    </xf>
    <xf numFmtId="188" fontId="1" fillId="7" borderId="12" xfId="0" applyNumberFormat="1" applyFont="1" applyFill="1" applyBorder="1" applyAlignment="1">
      <alignment horizontal="center" wrapText="1"/>
    </xf>
    <xf numFmtId="188" fontId="1" fillId="6" borderId="12" xfId="0" applyNumberFormat="1" applyFont="1" applyFill="1" applyBorder="1" applyAlignment="1">
      <alignment horizontal="center"/>
    </xf>
    <xf numFmtId="188" fontId="1" fillId="5" borderId="12" xfId="0" applyNumberFormat="1" applyFont="1" applyFill="1" applyBorder="1" applyAlignment="1">
      <alignment horizontal="center"/>
    </xf>
    <xf numFmtId="188" fontId="1" fillId="7" borderId="12" xfId="0" applyNumberFormat="1" applyFont="1" applyFill="1" applyBorder="1" applyAlignment="1">
      <alignment horizontal="center"/>
    </xf>
    <xf numFmtId="0" fontId="2" fillId="8" borderId="12" xfId="0" applyFont="1" applyFill="1" applyBorder="1" applyAlignment="1"/>
    <xf numFmtId="189" fontId="2" fillId="8" borderId="12" xfId="0" applyNumberFormat="1" applyFont="1" applyFill="1" applyBorder="1" applyAlignment="1"/>
    <xf numFmtId="188" fontId="2" fillId="8" borderId="12" xfId="0" applyNumberFormat="1" applyFont="1" applyFill="1" applyBorder="1" applyAlignment="1"/>
    <xf numFmtId="0" fontId="2" fillId="8" borderId="13" xfId="0" applyFont="1" applyFill="1" applyBorder="1" applyAlignment="1"/>
    <xf numFmtId="0" fontId="2" fillId="8" borderId="14" xfId="0" applyFont="1" applyFill="1" applyBorder="1" applyAlignment="1"/>
    <xf numFmtId="0" fontId="1" fillId="8" borderId="14" xfId="0" applyFont="1" applyFill="1" applyBorder="1" applyAlignment="1"/>
    <xf numFmtId="0" fontId="4" fillId="8" borderId="14" xfId="0" applyFont="1" applyFill="1" applyBorder="1" applyAlignment="1"/>
    <xf numFmtId="0" fontId="2" fillId="8" borderId="15" xfId="0" applyFont="1" applyFill="1" applyBorder="1" applyAlignment="1"/>
    <xf numFmtId="0" fontId="1" fillId="8" borderId="15" xfId="0" applyFont="1" applyFill="1" applyBorder="1" applyAlignment="1">
      <alignment horizontal="center"/>
    </xf>
    <xf numFmtId="189" fontId="2" fillId="8" borderId="15" xfId="0" applyNumberFormat="1" applyFont="1" applyFill="1" applyBorder="1" applyAlignment="1"/>
    <xf numFmtId="188" fontId="2" fillId="8" borderId="15" xfId="0" applyNumberFormat="1" applyFont="1" applyFill="1" applyBorder="1" applyAlignment="1"/>
    <xf numFmtId="188" fontId="1" fillId="8" borderId="15" xfId="0" applyNumberFormat="1" applyFont="1" applyFill="1" applyBorder="1" applyAlignment="1">
      <alignment horizontal="right"/>
    </xf>
    <xf numFmtId="0" fontId="5" fillId="8" borderId="14" xfId="0" applyFont="1" applyFill="1" applyBorder="1" applyAlignment="1"/>
    <xf numFmtId="0" fontId="5" fillId="8" borderId="15" xfId="0" applyFont="1" applyFill="1" applyBorder="1" applyAlignment="1">
      <alignment horizontal="center"/>
    </xf>
    <xf numFmtId="188" fontId="5" fillId="8" borderId="15" xfId="0" applyNumberFormat="1" applyFont="1" applyFill="1" applyBorder="1" applyAlignment="1">
      <alignment horizontal="right"/>
    </xf>
    <xf numFmtId="0" fontId="6" fillId="8" borderId="14" xfId="0" applyFont="1" applyFill="1" applyBorder="1" applyAlignment="1"/>
    <xf numFmtId="0" fontId="2" fillId="8" borderId="8" xfId="0" applyFont="1" applyFill="1" applyBorder="1" applyAlignment="1"/>
    <xf numFmtId="0" fontId="2" fillId="8" borderId="9" xfId="0" applyFont="1" applyFill="1" applyBorder="1" applyAlignment="1"/>
    <xf numFmtId="0" fontId="5" fillId="8" borderId="9" xfId="0" applyFont="1" applyFill="1" applyBorder="1" applyAlignment="1"/>
    <xf numFmtId="0" fontId="2" fillId="8" borderId="10" xfId="0" applyFont="1" applyFill="1" applyBorder="1" applyAlignment="1"/>
    <xf numFmtId="0" fontId="5" fillId="8" borderId="10" xfId="0" applyFont="1" applyFill="1" applyBorder="1" applyAlignment="1">
      <alignment horizontal="center"/>
    </xf>
    <xf numFmtId="189" fontId="2" fillId="8" borderId="10" xfId="0" applyNumberFormat="1" applyFont="1" applyFill="1" applyBorder="1" applyAlignment="1"/>
    <xf numFmtId="188" fontId="2" fillId="8" borderId="10" xfId="0" applyNumberFormat="1" applyFont="1" applyFill="1" applyBorder="1" applyAlignment="1"/>
    <xf numFmtId="188" fontId="5" fillId="8" borderId="10" xfId="0" applyNumberFormat="1" applyFont="1" applyFill="1" applyBorder="1" applyAlignment="1">
      <alignment horizontal="right"/>
    </xf>
    <xf numFmtId="0" fontId="2" fillId="9" borderId="10" xfId="0" applyFont="1" applyFill="1" applyBorder="1" applyAlignment="1"/>
    <xf numFmtId="189" fontId="2" fillId="9" borderId="10" xfId="0" applyNumberFormat="1" applyFont="1" applyFill="1" applyBorder="1" applyAlignment="1"/>
    <xf numFmtId="188" fontId="2" fillId="9" borderId="10" xfId="0" applyNumberFormat="1" applyFont="1" applyFill="1" applyBorder="1" applyAlignment="1"/>
    <xf numFmtId="0" fontId="2" fillId="10" borderId="13" xfId="0" applyFont="1" applyFill="1" applyBorder="1" applyAlignment="1"/>
    <xf numFmtId="0" fontId="2" fillId="10" borderId="14" xfId="0" applyFont="1" applyFill="1" applyBorder="1" applyAlignment="1"/>
    <xf numFmtId="0" fontId="1" fillId="10" borderId="14" xfId="0" applyFont="1" applyFill="1" applyBorder="1" applyAlignment="1"/>
    <xf numFmtId="0" fontId="7" fillId="10" borderId="14" xfId="0" applyFont="1" applyFill="1" applyBorder="1" applyAlignment="1"/>
    <xf numFmtId="0" fontId="2" fillId="10" borderId="15" xfId="0" applyFont="1" applyFill="1" applyBorder="1" applyAlignment="1"/>
    <xf numFmtId="0" fontId="1" fillId="10" borderId="15" xfId="0" applyFont="1" applyFill="1" applyBorder="1" applyAlignment="1">
      <alignment horizontal="center"/>
    </xf>
    <xf numFmtId="189" fontId="2" fillId="10" borderId="15" xfId="0" applyNumberFormat="1" applyFont="1" applyFill="1" applyBorder="1" applyAlignment="1"/>
    <xf numFmtId="188" fontId="2" fillId="10" borderId="15" xfId="0" applyNumberFormat="1" applyFont="1" applyFill="1" applyBorder="1" applyAlignment="1"/>
    <xf numFmtId="188" fontId="1" fillId="10" borderId="15" xfId="0" applyNumberFormat="1" applyFont="1" applyFill="1" applyBorder="1" applyAlignment="1">
      <alignment horizontal="right"/>
    </xf>
    <xf numFmtId="0" fontId="5" fillId="10" borderId="14" xfId="0" applyFont="1" applyFill="1" applyBorder="1" applyAlignment="1"/>
    <xf numFmtId="0" fontId="5" fillId="10" borderId="15" xfId="0" applyFont="1" applyFill="1" applyBorder="1" applyAlignment="1">
      <alignment horizontal="center"/>
    </xf>
    <xf numFmtId="188" fontId="5" fillId="10" borderId="15" xfId="0" applyNumberFormat="1" applyFont="1" applyFill="1" applyBorder="1" applyAlignment="1">
      <alignment horizontal="right"/>
    </xf>
    <xf numFmtId="0" fontId="2" fillId="2" borderId="13" xfId="0" applyFont="1" applyFill="1" applyBorder="1" applyAlignment="1"/>
    <xf numFmtId="0" fontId="2" fillId="2" borderId="14" xfId="0" applyFont="1" applyFill="1" applyBorder="1" applyAlignment="1"/>
    <xf numFmtId="0" fontId="8" fillId="2" borderId="14" xfId="0" applyFont="1" applyFill="1" applyBorder="1" applyAlignment="1"/>
    <xf numFmtId="0" fontId="2" fillId="2" borderId="15" xfId="0" applyFont="1" applyFill="1" applyBorder="1" applyAlignment="1"/>
    <xf numFmtId="0" fontId="5" fillId="2" borderId="15" xfId="0" applyFont="1" applyFill="1" applyBorder="1" applyAlignment="1">
      <alignment horizontal="center"/>
    </xf>
    <xf numFmtId="189" fontId="2" fillId="2" borderId="15" xfId="0" applyNumberFormat="1" applyFont="1" applyFill="1" applyBorder="1" applyAlignment="1"/>
    <xf numFmtId="188" fontId="2" fillId="2" borderId="15" xfId="0" applyNumberFormat="1" applyFont="1" applyFill="1" applyBorder="1" applyAlignment="1"/>
    <xf numFmtId="188" fontId="5" fillId="2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/>
    <xf numFmtId="188" fontId="5" fillId="2" borderId="15" xfId="0" applyNumberFormat="1" applyFont="1" applyFill="1" applyBorder="1" applyAlignment="1">
      <alignment horizontal="right"/>
    </xf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9" fillId="2" borderId="17" xfId="0" applyFont="1" applyFill="1" applyBorder="1" applyAlignment="1"/>
    <xf numFmtId="0" fontId="2" fillId="2" borderId="18" xfId="0" applyFont="1" applyFill="1" applyBorder="1" applyAlignment="1"/>
    <xf numFmtId="0" fontId="5" fillId="2" borderId="18" xfId="0" applyFont="1" applyFill="1" applyBorder="1" applyAlignment="1">
      <alignment horizontal="center"/>
    </xf>
    <xf numFmtId="189" fontId="2" fillId="2" borderId="18" xfId="0" applyNumberFormat="1" applyFont="1" applyFill="1" applyBorder="1" applyAlignment="1"/>
    <xf numFmtId="188" fontId="2" fillId="2" borderId="18" xfId="0" applyNumberFormat="1" applyFont="1" applyFill="1" applyBorder="1" applyAlignment="1"/>
    <xf numFmtId="188" fontId="5" fillId="2" borderId="18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0" fontId="2" fillId="2" borderId="9" xfId="0" applyFont="1" applyFill="1" applyBorder="1" applyAlignment="1"/>
    <xf numFmtId="0" fontId="5" fillId="2" borderId="9" xfId="0" applyFont="1" applyFill="1" applyBorder="1" applyAlignment="1"/>
    <xf numFmtId="0" fontId="2" fillId="2" borderId="10" xfId="0" applyFont="1" applyFill="1" applyBorder="1" applyAlignment="1"/>
    <xf numFmtId="0" fontId="5" fillId="2" borderId="10" xfId="0" applyFont="1" applyFill="1" applyBorder="1" applyAlignment="1">
      <alignment horizontal="center"/>
    </xf>
    <xf numFmtId="189" fontId="2" fillId="2" borderId="10" xfId="0" applyNumberFormat="1" applyFont="1" applyFill="1" applyBorder="1" applyAlignment="1"/>
    <xf numFmtId="188" fontId="2" fillId="2" borderId="10" xfId="0" applyNumberFormat="1" applyFont="1" applyFill="1" applyBorder="1" applyAlignment="1"/>
    <xf numFmtId="188" fontId="5" fillId="2" borderId="10" xfId="0" applyNumberFormat="1" applyFont="1" applyFill="1" applyBorder="1" applyAlignment="1">
      <alignment horizontal="right"/>
    </xf>
    <xf numFmtId="0" fontId="1" fillId="11" borderId="19" xfId="0" applyFont="1" applyFill="1" applyBorder="1" applyAlignment="1"/>
    <xf numFmtId="0" fontId="2" fillId="11" borderId="0" xfId="0" applyFont="1" applyFill="1" applyAlignment="1"/>
    <xf numFmtId="0" fontId="2" fillId="11" borderId="20" xfId="0" applyFont="1" applyFill="1" applyBorder="1" applyAlignment="1"/>
    <xf numFmtId="189" fontId="2" fillId="11" borderId="20" xfId="0" applyNumberFormat="1" applyFont="1" applyFill="1" applyBorder="1" applyAlignment="1"/>
    <xf numFmtId="188" fontId="2" fillId="11" borderId="20" xfId="0" applyNumberFormat="1" applyFont="1" applyFill="1" applyBorder="1" applyAlignment="1"/>
    <xf numFmtId="188" fontId="1" fillId="11" borderId="20" xfId="0" applyNumberFormat="1" applyFont="1" applyFill="1" applyBorder="1" applyAlignment="1">
      <alignment horizontal="right"/>
    </xf>
    <xf numFmtId="0" fontId="1" fillId="12" borderId="5" xfId="0" applyFont="1" applyFill="1" applyBorder="1" applyAlignment="1"/>
    <xf numFmtId="0" fontId="2" fillId="12" borderId="6" xfId="0" applyFont="1" applyFill="1" applyBorder="1" applyAlignment="1"/>
    <xf numFmtId="189" fontId="2" fillId="12" borderId="6" xfId="0" applyNumberFormat="1" applyFont="1" applyFill="1" applyBorder="1" applyAlignment="1"/>
    <xf numFmtId="188" fontId="2" fillId="12" borderId="6" xfId="0" applyNumberFormat="1" applyFont="1" applyFill="1" applyBorder="1" applyAlignment="1"/>
    <xf numFmtId="188" fontId="2" fillId="12" borderId="7" xfId="0" applyNumberFormat="1" applyFont="1" applyFill="1" applyBorder="1" applyAlignment="1"/>
    <xf numFmtId="0" fontId="2" fillId="13" borderId="14" xfId="0" applyFont="1" applyFill="1" applyBorder="1" applyAlignment="1"/>
    <xf numFmtId="0" fontId="1" fillId="13" borderId="14" xfId="0" applyFont="1" applyFill="1" applyBorder="1" applyAlignment="1"/>
    <xf numFmtId="0" fontId="2" fillId="13" borderId="21" xfId="0" applyFont="1" applyFill="1" applyBorder="1" applyAlignment="1"/>
    <xf numFmtId="189" fontId="2" fillId="13" borderId="21" xfId="0" applyNumberFormat="1" applyFont="1" applyFill="1" applyBorder="1" applyAlignment="1"/>
    <xf numFmtId="188" fontId="2" fillId="13" borderId="21" xfId="0" applyNumberFormat="1" applyFont="1" applyFill="1" applyBorder="1" applyAlignment="1"/>
    <xf numFmtId="0" fontId="2" fillId="14" borderId="13" xfId="0" applyFont="1" applyFill="1" applyBorder="1" applyAlignment="1"/>
    <xf numFmtId="0" fontId="2" fillId="14" borderId="14" xfId="0" applyFont="1" applyFill="1" applyBorder="1" applyAlignment="1"/>
    <xf numFmtId="0" fontId="1" fillId="14" borderId="14" xfId="0" applyFont="1" applyFill="1" applyBorder="1" applyAlignment="1"/>
    <xf numFmtId="0" fontId="10" fillId="14" borderId="14" xfId="0" applyFont="1" applyFill="1" applyBorder="1" applyAlignment="1"/>
    <xf numFmtId="0" fontId="2" fillId="14" borderId="15" xfId="0" applyFont="1" applyFill="1" applyBorder="1" applyAlignment="1"/>
    <xf numFmtId="0" fontId="1" fillId="14" borderId="15" xfId="0" applyFont="1" applyFill="1" applyBorder="1" applyAlignment="1">
      <alignment horizontal="center"/>
    </xf>
    <xf numFmtId="189" fontId="2" fillId="14" borderId="15" xfId="0" applyNumberFormat="1" applyFont="1" applyFill="1" applyBorder="1" applyAlignment="1"/>
    <xf numFmtId="188" fontId="2" fillId="14" borderId="15" xfId="0" applyNumberFormat="1" applyFont="1" applyFill="1" applyBorder="1" applyAlignment="1"/>
    <xf numFmtId="188" fontId="1" fillId="14" borderId="15" xfId="0" applyNumberFormat="1" applyFont="1" applyFill="1" applyBorder="1" applyAlignment="1">
      <alignment horizontal="right"/>
    </xf>
    <xf numFmtId="0" fontId="5" fillId="14" borderId="14" xfId="0" applyFont="1" applyFill="1" applyBorder="1" applyAlignment="1"/>
    <xf numFmtId="0" fontId="5" fillId="14" borderId="15" xfId="0" applyFont="1" applyFill="1" applyBorder="1" applyAlignment="1">
      <alignment horizontal="center"/>
    </xf>
    <xf numFmtId="188" fontId="5" fillId="14" borderId="15" xfId="0" applyNumberFormat="1" applyFont="1" applyFill="1" applyBorder="1" applyAlignment="1">
      <alignment horizontal="right"/>
    </xf>
    <xf numFmtId="0" fontId="11" fillId="2" borderId="14" xfId="0" applyFont="1" applyFill="1" applyBorder="1" applyAlignment="1"/>
    <xf numFmtId="0" fontId="2" fillId="15" borderId="6" xfId="0" applyFont="1" applyFill="1" applyBorder="1" applyAlignment="1"/>
    <xf numFmtId="189" fontId="2" fillId="15" borderId="6" xfId="0" applyNumberFormat="1" applyFont="1" applyFill="1" applyBorder="1" applyAlignment="1"/>
    <xf numFmtId="188" fontId="2" fillId="15" borderId="6" xfId="0" applyNumberFormat="1" applyFont="1" applyFill="1" applyBorder="1" applyAlignment="1"/>
    <xf numFmtId="188" fontId="2" fillId="15" borderId="7" xfId="0" applyNumberFormat="1" applyFont="1" applyFill="1" applyBorder="1" applyAlignment="1"/>
    <xf numFmtId="0" fontId="2" fillId="16" borderId="13" xfId="0" applyFont="1" applyFill="1" applyBorder="1" applyAlignment="1"/>
    <xf numFmtId="0" fontId="2" fillId="16" borderId="15" xfId="0" applyFont="1" applyFill="1" applyBorder="1" applyAlignment="1"/>
    <xf numFmtId="189" fontId="2" fillId="16" borderId="15" xfId="0" applyNumberFormat="1" applyFont="1" applyFill="1" applyBorder="1" applyAlignment="1"/>
    <xf numFmtId="188" fontId="2" fillId="16" borderId="15" xfId="0" applyNumberFormat="1" applyFont="1" applyFill="1" applyBorder="1" applyAlignment="1"/>
    <xf numFmtId="0" fontId="2" fillId="17" borderId="13" xfId="0" applyFont="1" applyFill="1" applyBorder="1" applyAlignment="1"/>
    <xf numFmtId="0" fontId="1" fillId="17" borderId="14" xfId="0" applyFont="1" applyFill="1" applyBorder="1" applyAlignment="1"/>
    <xf numFmtId="0" fontId="2" fillId="17" borderId="14" xfId="0" applyFont="1" applyFill="1" applyBorder="1" applyAlignment="1"/>
    <xf numFmtId="0" fontId="2" fillId="17" borderId="15" xfId="0" applyFont="1" applyFill="1" applyBorder="1" applyAlignment="1"/>
    <xf numFmtId="189" fontId="2" fillId="17" borderId="15" xfId="0" applyNumberFormat="1" applyFont="1" applyFill="1" applyBorder="1" applyAlignment="1"/>
    <xf numFmtId="188" fontId="2" fillId="17" borderId="15" xfId="0" applyNumberFormat="1" applyFont="1" applyFill="1" applyBorder="1" applyAlignment="1"/>
    <xf numFmtId="0" fontId="2" fillId="18" borderId="13" xfId="0" applyFont="1" applyFill="1" applyBorder="1" applyAlignment="1"/>
    <xf numFmtId="0" fontId="2" fillId="18" borderId="14" xfId="0" applyFont="1" applyFill="1" applyBorder="1" applyAlignment="1"/>
    <xf numFmtId="0" fontId="1" fillId="18" borderId="14" xfId="0" applyFont="1" applyFill="1" applyBorder="1" applyAlignment="1"/>
    <xf numFmtId="0" fontId="12" fillId="18" borderId="14" xfId="0" applyFont="1" applyFill="1" applyBorder="1" applyAlignment="1"/>
    <xf numFmtId="0" fontId="2" fillId="18" borderId="15" xfId="0" applyFont="1" applyFill="1" applyBorder="1" applyAlignment="1"/>
    <xf numFmtId="0" fontId="1" fillId="18" borderId="15" xfId="0" applyFont="1" applyFill="1" applyBorder="1" applyAlignment="1">
      <alignment horizontal="center"/>
    </xf>
    <xf numFmtId="189" fontId="2" fillId="18" borderId="15" xfId="0" applyNumberFormat="1" applyFont="1" applyFill="1" applyBorder="1" applyAlignment="1"/>
    <xf numFmtId="188" fontId="2" fillId="18" borderId="15" xfId="0" applyNumberFormat="1" applyFont="1" applyFill="1" applyBorder="1" applyAlignment="1"/>
    <xf numFmtId="188" fontId="1" fillId="18" borderId="15" xfId="0" applyNumberFormat="1" applyFont="1" applyFill="1" applyBorder="1" applyAlignment="1">
      <alignment horizontal="right"/>
    </xf>
    <xf numFmtId="0" fontId="5" fillId="18" borderId="14" xfId="0" applyFont="1" applyFill="1" applyBorder="1" applyAlignment="1"/>
    <xf numFmtId="0" fontId="5" fillId="18" borderId="15" xfId="0" applyFont="1" applyFill="1" applyBorder="1" applyAlignment="1">
      <alignment horizontal="center"/>
    </xf>
    <xf numFmtId="188" fontId="5" fillId="18" borderId="15" xfId="0" applyNumberFormat="1" applyFont="1" applyFill="1" applyBorder="1" applyAlignment="1">
      <alignment horizontal="right"/>
    </xf>
    <xf numFmtId="0" fontId="2" fillId="2" borderId="19" xfId="0" applyFont="1" applyFill="1" applyBorder="1" applyAlignment="1"/>
    <xf numFmtId="0" fontId="5" fillId="2" borderId="0" xfId="0" applyFont="1" applyFill="1" applyAlignment="1"/>
    <xf numFmtId="0" fontId="2" fillId="2" borderId="20" xfId="0" applyFont="1" applyFill="1" applyBorder="1" applyAlignment="1"/>
    <xf numFmtId="0" fontId="5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5" fillId="2" borderId="20" xfId="0" applyNumberFormat="1" applyFont="1" applyFill="1" applyBorder="1" applyAlignment="1">
      <alignment horizontal="right"/>
    </xf>
    <xf numFmtId="187" fontId="1" fillId="19" borderId="5" xfId="0" applyNumberFormat="1" applyFont="1" applyFill="1" applyBorder="1" applyAlignment="1"/>
    <xf numFmtId="187" fontId="2" fillId="19" borderId="6" xfId="0" applyNumberFormat="1" applyFont="1" applyFill="1" applyBorder="1" applyAlignment="1"/>
    <xf numFmtId="0" fontId="2" fillId="19" borderId="6" xfId="0" applyFont="1" applyFill="1" applyBorder="1" applyAlignment="1"/>
    <xf numFmtId="189" fontId="2" fillId="19" borderId="6" xfId="0" applyNumberFormat="1" applyFont="1" applyFill="1" applyBorder="1" applyAlignment="1"/>
    <xf numFmtId="188" fontId="2" fillId="19" borderId="6" xfId="0" applyNumberFormat="1" applyFont="1" applyFill="1" applyBorder="1" applyAlignment="1"/>
    <xf numFmtId="188" fontId="2" fillId="19" borderId="7" xfId="0" applyNumberFormat="1" applyFont="1" applyFill="1" applyBorder="1" applyAlignment="1"/>
    <xf numFmtId="187" fontId="1" fillId="20" borderId="13" xfId="0" applyNumberFormat="1" applyFont="1" applyFill="1" applyBorder="1" applyAlignment="1"/>
    <xf numFmtId="0" fontId="2" fillId="20" borderId="14" xfId="0" applyFont="1" applyFill="1" applyBorder="1" applyAlignment="1"/>
    <xf numFmtId="187" fontId="2" fillId="20" borderId="14" xfId="0" applyNumberFormat="1" applyFont="1" applyFill="1" applyBorder="1" applyAlignment="1"/>
    <xf numFmtId="0" fontId="2" fillId="20" borderId="15" xfId="0" applyFont="1" applyFill="1" applyBorder="1" applyAlignment="1"/>
    <xf numFmtId="189" fontId="2" fillId="20" borderId="15" xfId="0" applyNumberFormat="1" applyFont="1" applyFill="1" applyBorder="1" applyAlignment="1"/>
    <xf numFmtId="188" fontId="2" fillId="20" borderId="15" xfId="0" applyNumberFormat="1" applyFont="1" applyFill="1" applyBorder="1" applyAlignment="1"/>
    <xf numFmtId="190" fontId="2" fillId="10" borderId="13" xfId="0" applyNumberFormat="1" applyFont="1" applyFill="1" applyBorder="1" applyAlignment="1"/>
    <xf numFmtId="0" fontId="1" fillId="10" borderId="14" xfId="0" applyFont="1" applyFill="1" applyBorder="1" applyAlignment="1"/>
    <xf numFmtId="187" fontId="2" fillId="10" borderId="14" xfId="0" applyNumberFormat="1" applyFont="1" applyFill="1" applyBorder="1" applyAlignment="1"/>
    <xf numFmtId="0" fontId="1" fillId="10" borderId="15" xfId="0" applyFont="1" applyFill="1" applyBorder="1" applyAlignment="1">
      <alignment horizontal="center" wrapText="1"/>
    </xf>
    <xf numFmtId="189" fontId="1" fillId="10" borderId="15" xfId="0" applyNumberFormat="1" applyFont="1" applyFill="1" applyBorder="1" applyAlignment="1">
      <alignment horizontal="right"/>
    </xf>
    <xf numFmtId="190" fontId="2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3" fillId="2" borderId="14" xfId="0" applyFont="1" applyFill="1" applyBorder="1" applyAlignment="1"/>
    <xf numFmtId="187" fontId="1" fillId="2" borderId="15" xfId="0" applyNumberFormat="1" applyFont="1" applyFill="1" applyBorder="1" applyAlignment="1">
      <alignment horizontal="center"/>
    </xf>
    <xf numFmtId="188" fontId="1" fillId="2" borderId="15" xfId="0" applyNumberFormat="1" applyFont="1" applyFill="1" applyBorder="1" applyAlignment="1">
      <alignment horizontal="right"/>
    </xf>
    <xf numFmtId="187" fontId="5" fillId="2" borderId="15" xfId="0" applyNumberFormat="1" applyFont="1" applyFill="1" applyBorder="1" applyAlignment="1">
      <alignment horizontal="center"/>
    </xf>
    <xf numFmtId="187" fontId="5" fillId="0" borderId="15" xfId="0" applyNumberFormat="1" applyFont="1" applyBorder="1" applyAlignment="1">
      <alignment horizontal="center" wrapText="1"/>
    </xf>
    <xf numFmtId="189" fontId="2" fillId="0" borderId="15" xfId="0" applyNumberFormat="1" applyFont="1" applyBorder="1" applyAlignment="1"/>
    <xf numFmtId="188" fontId="2" fillId="0" borderId="15" xfId="0" applyNumberFormat="1" applyFont="1" applyBorder="1" applyAlignment="1"/>
    <xf numFmtId="187" fontId="5" fillId="0" borderId="15" xfId="0" applyNumberFormat="1" applyFont="1" applyBorder="1" applyAlignment="1">
      <alignment horizontal="center"/>
    </xf>
    <xf numFmtId="187" fontId="2" fillId="0" borderId="13" xfId="0" applyNumberFormat="1" applyFont="1" applyBorder="1" applyAlignment="1"/>
    <xf numFmtId="187" fontId="2" fillId="0" borderId="14" xfId="0" applyNumberFormat="1" applyFont="1" applyBorder="1" applyAlignment="1"/>
    <xf numFmtId="0" fontId="14" fillId="21" borderId="14" xfId="0" quotePrefix="1" applyFont="1" applyFill="1" applyBorder="1" applyAlignment="1"/>
    <xf numFmtId="0" fontId="2" fillId="21" borderId="14" xfId="0" applyFont="1" applyFill="1" applyBorder="1" applyAlignment="1"/>
    <xf numFmtId="0" fontId="2" fillId="21" borderId="15" xfId="0" applyFont="1" applyFill="1" applyBorder="1" applyAlignment="1"/>
    <xf numFmtId="0" fontId="2" fillId="0" borderId="15" xfId="0" applyFont="1" applyBorder="1" applyAlignment="1"/>
    <xf numFmtId="0" fontId="5" fillId="0" borderId="14" xfId="0" quotePrefix="1" applyFont="1" applyBorder="1" applyAlignment="1"/>
    <xf numFmtId="0" fontId="2" fillId="0" borderId="14" xfId="0" applyFont="1" applyBorder="1" applyAlignment="1"/>
    <xf numFmtId="0" fontId="1" fillId="0" borderId="15" xfId="0" applyFont="1" applyBorder="1" applyAlignment="1">
      <alignment horizontal="center" wrapText="1"/>
    </xf>
    <xf numFmtId="189" fontId="1" fillId="2" borderId="15" xfId="0" applyNumberFormat="1" applyFont="1" applyFill="1" applyBorder="1" applyAlignment="1">
      <alignment horizontal="right"/>
    </xf>
    <xf numFmtId="188" fontId="1" fillId="0" borderId="15" xfId="0" applyNumberFormat="1" applyFont="1" applyBorder="1" applyAlignment="1">
      <alignment horizontal="right"/>
    </xf>
    <xf numFmtId="189" fontId="1" fillId="2" borderId="20" xfId="0" applyNumberFormat="1" applyFont="1" applyFill="1" applyBorder="1" applyAlignment="1">
      <alignment horizontal="right"/>
    </xf>
    <xf numFmtId="0" fontId="5" fillId="0" borderId="14" xfId="0" applyFont="1" applyBorder="1" applyAlignment="1"/>
    <xf numFmtId="0" fontId="5" fillId="0" borderId="15" xfId="0" applyFont="1" applyBorder="1" applyAlignment="1">
      <alignment horizontal="center"/>
    </xf>
    <xf numFmtId="189" fontId="15" fillId="0" borderId="18" xfId="0" applyNumberFormat="1" applyFont="1" applyBorder="1" applyAlignment="1">
      <alignment horizontal="left"/>
    </xf>
    <xf numFmtId="189" fontId="5" fillId="2" borderId="15" xfId="0" applyNumberFormat="1" applyFont="1" applyFill="1" applyBorder="1" applyAlignment="1">
      <alignment horizontal="right"/>
    </xf>
    <xf numFmtId="188" fontId="5" fillId="0" borderId="15" xfId="0" applyNumberFormat="1" applyFont="1" applyBorder="1" applyAlignment="1">
      <alignment horizontal="right"/>
    </xf>
    <xf numFmtId="189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center" wrapText="1"/>
    </xf>
    <xf numFmtId="187" fontId="16" fillId="8" borderId="13" xfId="0" applyNumberFormat="1" applyFont="1" applyFill="1" applyBorder="1" applyAlignment="1"/>
    <xf numFmtId="187" fontId="16" fillId="8" borderId="14" xfId="0" applyNumberFormat="1" applyFont="1" applyFill="1" applyBorder="1" applyAlignment="1"/>
    <xf numFmtId="0" fontId="17" fillId="8" borderId="14" xfId="0" applyFont="1" applyFill="1" applyBorder="1" applyAlignment="1"/>
    <xf numFmtId="0" fontId="16" fillId="8" borderId="14" xfId="0" applyFont="1" applyFill="1" applyBorder="1" applyAlignment="1"/>
    <xf numFmtId="0" fontId="16" fillId="8" borderId="15" xfId="0" applyFont="1" applyFill="1" applyBorder="1" applyAlignment="1"/>
    <xf numFmtId="0" fontId="17" fillId="8" borderId="15" xfId="0" applyFont="1" applyFill="1" applyBorder="1" applyAlignment="1">
      <alignment horizontal="center"/>
    </xf>
    <xf numFmtId="189" fontId="17" fillId="8" borderId="15" xfId="0" applyNumberFormat="1" applyFont="1" applyFill="1" applyBorder="1" applyAlignment="1">
      <alignment horizontal="right"/>
    </xf>
    <xf numFmtId="188" fontId="17" fillId="8" borderId="15" xfId="0" applyNumberFormat="1" applyFont="1" applyFill="1" applyBorder="1" applyAlignment="1">
      <alignment horizontal="right"/>
    </xf>
    <xf numFmtId="0" fontId="1" fillId="0" borderId="14" xfId="0" applyFont="1" applyBorder="1" applyAlignment="1"/>
    <xf numFmtId="0" fontId="5" fillId="0" borderId="14" xfId="0" applyFont="1" applyBorder="1" applyAlignment="1"/>
    <xf numFmtId="189" fontId="5" fillId="2" borderId="15" xfId="0" applyNumberFormat="1" applyFont="1" applyFill="1" applyBorder="1" applyAlignment="1">
      <alignment horizontal="right"/>
    </xf>
    <xf numFmtId="0" fontId="18" fillId="8" borderId="14" xfId="0" applyFont="1" applyFill="1" applyBorder="1" applyAlignment="1"/>
    <xf numFmtId="189" fontId="16" fillId="8" borderId="15" xfId="0" applyNumberFormat="1" applyFont="1" applyFill="1" applyBorder="1" applyAlignment="1"/>
    <xf numFmtId="189" fontId="16" fillId="2" borderId="15" xfId="0" applyNumberFormat="1" applyFont="1" applyFill="1" applyBorder="1" applyAlignment="1"/>
    <xf numFmtId="188" fontId="16" fillId="8" borderId="15" xfId="0" applyNumberFormat="1" applyFont="1" applyFill="1" applyBorder="1" applyAlignment="1"/>
    <xf numFmtId="189" fontId="17" fillId="2" borderId="15" xfId="0" applyNumberFormat="1" applyFont="1" applyFill="1" applyBorder="1" applyAlignment="1">
      <alignment horizontal="right"/>
    </xf>
    <xf numFmtId="0" fontId="19" fillId="8" borderId="14" xfId="0" applyFont="1" applyFill="1" applyBorder="1" applyAlignment="1"/>
    <xf numFmtId="0" fontId="20" fillId="8" borderId="14" xfId="0" applyFont="1" applyFill="1" applyBorder="1" applyAlignment="1"/>
    <xf numFmtId="0" fontId="18" fillId="8" borderId="15" xfId="0" applyFont="1" applyFill="1" applyBorder="1" applyAlignment="1">
      <alignment horizontal="center"/>
    </xf>
    <xf numFmtId="189" fontId="18" fillId="8" borderId="15" xfId="0" applyNumberFormat="1" applyFont="1" applyFill="1" applyBorder="1" applyAlignment="1">
      <alignment horizontal="right"/>
    </xf>
    <xf numFmtId="188" fontId="18" fillId="8" borderId="15" xfId="0" applyNumberFormat="1" applyFont="1" applyFill="1" applyBorder="1" applyAlignment="1">
      <alignment horizontal="right"/>
    </xf>
    <xf numFmtId="187" fontId="1" fillId="8" borderId="13" xfId="0" applyNumberFormat="1" applyFont="1" applyFill="1" applyBorder="1" applyAlignment="1"/>
    <xf numFmtId="190" fontId="2" fillId="8" borderId="14" xfId="0" applyNumberFormat="1" applyFont="1" applyFill="1" applyBorder="1" applyAlignment="1"/>
    <xf numFmtId="189" fontId="2" fillId="8" borderId="14" xfId="0" applyNumberFormat="1" applyFont="1" applyFill="1" applyBorder="1" applyAlignment="1"/>
    <xf numFmtId="188" fontId="2" fillId="8" borderId="14" xfId="0" applyNumberFormat="1" applyFont="1" applyFill="1" applyBorder="1" applyAlignment="1"/>
    <xf numFmtId="190" fontId="2" fillId="8" borderId="13" xfId="0" applyNumberFormat="1" applyFont="1" applyFill="1" applyBorder="1" applyAlignment="1"/>
    <xf numFmtId="0" fontId="1" fillId="8" borderId="14" xfId="0" applyFont="1" applyFill="1" applyBorder="1" applyAlignment="1"/>
    <xf numFmtId="187" fontId="2" fillId="8" borderId="14" xfId="0" applyNumberFormat="1" applyFont="1" applyFill="1" applyBorder="1" applyAlignment="1"/>
    <xf numFmtId="189" fontId="5" fillId="8" borderId="15" xfId="0" applyNumberFormat="1" applyFont="1" applyFill="1" applyBorder="1" applyAlignment="1">
      <alignment horizontal="right"/>
    </xf>
    <xf numFmtId="187" fontId="1" fillId="8" borderId="15" xfId="0" applyNumberFormat="1" applyFont="1" applyFill="1" applyBorder="1" applyAlignment="1">
      <alignment horizontal="center"/>
    </xf>
    <xf numFmtId="190" fontId="16" fillId="8" borderId="13" xfId="0" applyNumberFormat="1" applyFont="1" applyFill="1" applyBorder="1" applyAlignment="1"/>
    <xf numFmtId="187" fontId="17" fillId="8" borderId="15" xfId="0" applyNumberFormat="1" applyFont="1" applyFill="1" applyBorder="1" applyAlignment="1">
      <alignment horizontal="center"/>
    </xf>
    <xf numFmtId="187" fontId="5" fillId="8" borderId="15" xfId="0" applyNumberFormat="1" applyFont="1" applyFill="1" applyBorder="1" applyAlignment="1">
      <alignment horizontal="center"/>
    </xf>
    <xf numFmtId="187" fontId="5" fillId="8" borderId="15" xfId="0" applyNumberFormat="1" applyFont="1" applyFill="1" applyBorder="1" applyAlignment="1">
      <alignment horizontal="center" wrapText="1"/>
    </xf>
    <xf numFmtId="187" fontId="17" fillId="8" borderId="15" xfId="0" applyNumberFormat="1" applyFont="1" applyFill="1" applyBorder="1" applyAlignment="1">
      <alignment horizontal="center" wrapText="1"/>
    </xf>
    <xf numFmtId="190" fontId="2" fillId="20" borderId="14" xfId="0" applyNumberFormat="1" applyFont="1" applyFill="1" applyBorder="1" applyAlignment="1"/>
    <xf numFmtId="189" fontId="2" fillId="20" borderId="14" xfId="0" applyNumberFormat="1" applyFont="1" applyFill="1" applyBorder="1" applyAlignment="1"/>
    <xf numFmtId="188" fontId="2" fillId="20" borderId="14" xfId="0" applyNumberFormat="1" applyFont="1" applyFill="1" applyBorder="1" applyAlignment="1"/>
    <xf numFmtId="190" fontId="2" fillId="10" borderId="14" xfId="0" applyNumberFormat="1" applyFont="1" applyFill="1" applyBorder="1" applyAlignment="1"/>
    <xf numFmtId="190" fontId="1" fillId="10" borderId="14" xfId="0" applyNumberFormat="1" applyFont="1" applyFill="1" applyBorder="1" applyAlignment="1"/>
    <xf numFmtId="0" fontId="1" fillId="10" borderId="15" xfId="0" applyFont="1" applyFill="1" applyBorder="1" applyAlignment="1">
      <alignment horizontal="center" wrapText="1"/>
    </xf>
    <xf numFmtId="187" fontId="2" fillId="0" borderId="15" xfId="0" applyNumberFormat="1" applyFont="1" applyBorder="1" applyAlignment="1"/>
    <xf numFmtId="190" fontId="2" fillId="2" borderId="16" xfId="0" applyNumberFormat="1" applyFont="1" applyFill="1" applyBorder="1" applyAlignment="1"/>
    <xf numFmtId="0" fontId="2" fillId="0" borderId="17" xfId="0" applyFont="1" applyBorder="1" applyAlignment="1"/>
    <xf numFmtId="0" fontId="5" fillId="2" borderId="17" xfId="0" applyFont="1" applyFill="1" applyBorder="1" applyAlignment="1"/>
    <xf numFmtId="187" fontId="5" fillId="0" borderId="18" xfId="0" applyNumberFormat="1" applyFont="1" applyBorder="1" applyAlignment="1">
      <alignment horizontal="center"/>
    </xf>
    <xf numFmtId="189" fontId="5" fillId="2" borderId="18" xfId="0" applyNumberFormat="1" applyFont="1" applyFill="1" applyBorder="1" applyAlignment="1">
      <alignment horizontal="right"/>
    </xf>
    <xf numFmtId="0" fontId="5" fillId="2" borderId="17" xfId="0" applyFont="1" applyFill="1" applyBorder="1" applyAlignment="1"/>
    <xf numFmtId="187" fontId="5" fillId="0" borderId="18" xfId="0" applyNumberFormat="1" applyFont="1" applyBorder="1" applyAlignment="1">
      <alignment horizontal="center"/>
    </xf>
    <xf numFmtId="189" fontId="5" fillId="2" borderId="18" xfId="0" applyNumberFormat="1" applyFont="1" applyFill="1" applyBorder="1" applyAlignment="1">
      <alignment horizontal="right"/>
    </xf>
    <xf numFmtId="0" fontId="21" fillId="2" borderId="17" xfId="0" applyFont="1" applyFill="1" applyBorder="1" applyAlignment="1"/>
    <xf numFmtId="190" fontId="2" fillId="2" borderId="22" xfId="0" applyNumberFormat="1" applyFont="1" applyFill="1" applyBorder="1" applyAlignment="1"/>
    <xf numFmtId="0" fontId="2" fillId="2" borderId="23" xfId="0" applyFont="1" applyFill="1" applyBorder="1" applyAlignment="1"/>
    <xf numFmtId="0" fontId="5" fillId="2" borderId="23" xfId="0" applyFont="1" applyFill="1" applyBorder="1" applyAlignment="1"/>
    <xf numFmtId="0" fontId="2" fillId="2" borderId="24" xfId="0" applyFont="1" applyFill="1" applyBorder="1" applyAlignment="1"/>
    <xf numFmtId="187" fontId="5" fillId="0" borderId="24" xfId="0" applyNumberFormat="1" applyFont="1" applyBorder="1" applyAlignment="1">
      <alignment horizontal="center"/>
    </xf>
    <xf numFmtId="189" fontId="5" fillId="2" borderId="24" xfId="0" applyNumberFormat="1" applyFont="1" applyFill="1" applyBorder="1" applyAlignment="1">
      <alignment horizontal="right"/>
    </xf>
    <xf numFmtId="189" fontId="5" fillId="2" borderId="24" xfId="0" applyNumberFormat="1" applyFont="1" applyFill="1" applyBorder="1" applyAlignment="1">
      <alignment horizontal="right"/>
    </xf>
    <xf numFmtId="188" fontId="2" fillId="2" borderId="24" xfId="0" applyNumberFormat="1" applyFont="1" applyFill="1" applyBorder="1" applyAlignment="1"/>
    <xf numFmtId="187" fontId="1" fillId="20" borderId="16" xfId="0" applyNumberFormat="1" applyFont="1" applyFill="1" applyBorder="1" applyAlignment="1"/>
    <xf numFmtId="0" fontId="2" fillId="20" borderId="17" xfId="0" applyFont="1" applyFill="1" applyBorder="1" applyAlignment="1"/>
    <xf numFmtId="190" fontId="2" fillId="20" borderId="17" xfId="0" applyNumberFormat="1" applyFont="1" applyFill="1" applyBorder="1" applyAlignment="1"/>
    <xf numFmtId="189" fontId="2" fillId="20" borderId="17" xfId="0" applyNumberFormat="1" applyFont="1" applyFill="1" applyBorder="1" applyAlignment="1"/>
    <xf numFmtId="188" fontId="2" fillId="20" borderId="17" xfId="0" applyNumberFormat="1" applyFont="1" applyFill="1" applyBorder="1" applyAlignment="1"/>
    <xf numFmtId="188" fontId="2" fillId="20" borderId="18" xfId="0" applyNumberFormat="1" applyFont="1" applyFill="1" applyBorder="1" applyAlignment="1"/>
    <xf numFmtId="187" fontId="1" fillId="10" borderId="15" xfId="0" applyNumberFormat="1" applyFont="1" applyFill="1" applyBorder="1" applyAlignment="1">
      <alignment horizontal="center"/>
    </xf>
    <xf numFmtId="0" fontId="5" fillId="2" borderId="14" xfId="0" applyFont="1" applyFill="1" applyBorder="1" applyAlignment="1"/>
    <xf numFmtId="190" fontId="2" fillId="2" borderId="19" xfId="0" applyNumberFormat="1" applyFont="1" applyFill="1" applyBorder="1" applyAlignment="1"/>
    <xf numFmtId="0" fontId="5" fillId="2" borderId="0" xfId="0" applyFont="1" applyFill="1" applyAlignment="1"/>
    <xf numFmtId="187" fontId="5" fillId="0" borderId="20" xfId="0" applyNumberFormat="1" applyFont="1" applyBorder="1" applyAlignment="1">
      <alignment horizontal="center"/>
    </xf>
    <xf numFmtId="189" fontId="5" fillId="2" borderId="20" xfId="0" applyNumberFormat="1" applyFont="1" applyFill="1" applyBorder="1" applyAlignment="1">
      <alignment horizontal="right"/>
    </xf>
    <xf numFmtId="187" fontId="1" fillId="7" borderId="5" xfId="0" applyNumberFormat="1" applyFont="1" applyFill="1" applyBorder="1" applyAlignment="1"/>
    <xf numFmtId="187" fontId="2" fillId="7" borderId="6" xfId="0" applyNumberFormat="1" applyFont="1" applyFill="1" applyBorder="1" applyAlignment="1"/>
    <xf numFmtId="0" fontId="2" fillId="7" borderId="6" xfId="0" applyFont="1" applyFill="1" applyBorder="1" applyAlignment="1"/>
    <xf numFmtId="189" fontId="2" fillId="7" borderId="6" xfId="0" applyNumberFormat="1" applyFont="1" applyFill="1" applyBorder="1" applyAlignment="1"/>
    <xf numFmtId="188" fontId="2" fillId="7" borderId="6" xfId="0" applyNumberFormat="1" applyFont="1" applyFill="1" applyBorder="1" applyAlignment="1"/>
    <xf numFmtId="188" fontId="2" fillId="7" borderId="7" xfId="0" applyNumberFormat="1" applyFont="1" applyFill="1" applyBorder="1" applyAlignment="1"/>
    <xf numFmtId="187" fontId="1" fillId="22" borderId="13" xfId="0" applyNumberFormat="1" applyFont="1" applyFill="1" applyBorder="1" applyAlignment="1"/>
    <xf numFmtId="187" fontId="2" fillId="22" borderId="14" xfId="0" applyNumberFormat="1" applyFont="1" applyFill="1" applyBorder="1" applyAlignment="1"/>
    <xf numFmtId="0" fontId="2" fillId="22" borderId="14" xfId="0" applyFont="1" applyFill="1" applyBorder="1" applyAlignment="1"/>
    <xf numFmtId="0" fontId="2" fillId="22" borderId="15" xfId="0" applyFont="1" applyFill="1" applyBorder="1" applyAlignment="1"/>
    <xf numFmtId="189" fontId="2" fillId="22" borderId="15" xfId="0" applyNumberFormat="1" applyFont="1" applyFill="1" applyBorder="1" applyAlignment="1"/>
    <xf numFmtId="188" fontId="2" fillId="22" borderId="15" xfId="0" applyNumberFormat="1" applyFont="1" applyFill="1" applyBorder="1" applyAlignment="1"/>
    <xf numFmtId="187" fontId="2" fillId="21" borderId="13" xfId="0" applyNumberFormat="1" applyFont="1" applyFill="1" applyBorder="1" applyAlignment="1"/>
    <xf numFmtId="0" fontId="1" fillId="21" borderId="14" xfId="0" applyFont="1" applyFill="1" applyBorder="1" applyAlignment="1"/>
    <xf numFmtId="187" fontId="2" fillId="21" borderId="14" xfId="0" applyNumberFormat="1" applyFont="1" applyFill="1" applyBorder="1" applyAlignment="1"/>
    <xf numFmtId="0" fontId="1" fillId="21" borderId="15" xfId="0" applyFont="1" applyFill="1" applyBorder="1" applyAlignment="1">
      <alignment horizontal="center" wrapText="1"/>
    </xf>
    <xf numFmtId="189" fontId="1" fillId="21" borderId="15" xfId="0" applyNumberFormat="1" applyFont="1" applyFill="1" applyBorder="1" applyAlignment="1">
      <alignment horizontal="right"/>
    </xf>
    <xf numFmtId="188" fontId="1" fillId="21" borderId="15" xfId="0" applyNumberFormat="1" applyFont="1" applyFill="1" applyBorder="1" applyAlignment="1">
      <alignment horizontal="right"/>
    </xf>
    <xf numFmtId="188" fontId="2" fillId="21" borderId="15" xfId="0" applyNumberFormat="1" applyFont="1" applyFill="1" applyBorder="1" applyAlignment="1"/>
    <xf numFmtId="187" fontId="2" fillId="2" borderId="13" xfId="0" applyNumberFormat="1" applyFont="1" applyFill="1" applyBorder="1" applyAlignment="1"/>
    <xf numFmtId="187" fontId="5" fillId="2" borderId="14" xfId="0" applyNumberFormat="1" applyFont="1" applyFill="1" applyBorder="1" applyAlignment="1"/>
    <xf numFmtId="187" fontId="5" fillId="2" borderId="14" xfId="0" applyNumberFormat="1" applyFont="1" applyFill="1" applyBorder="1" applyAlignment="1"/>
    <xf numFmtId="0" fontId="5" fillId="2" borderId="15" xfId="0" applyFont="1" applyFill="1" applyBorder="1" applyAlignment="1">
      <alignment horizontal="center" wrapText="1"/>
    </xf>
    <xf numFmtId="187" fontId="2" fillId="2" borderId="14" xfId="0" applyNumberFormat="1" applyFont="1" applyFill="1" applyBorder="1" applyAlignment="1"/>
    <xf numFmtId="187" fontId="2" fillId="23" borderId="13" xfId="0" applyNumberFormat="1" applyFont="1" applyFill="1" applyBorder="1" applyAlignment="1"/>
    <xf numFmtId="187" fontId="2" fillId="23" borderId="14" xfId="0" applyNumberFormat="1" applyFont="1" applyFill="1" applyBorder="1" applyAlignment="1"/>
    <xf numFmtId="0" fontId="1" fillId="23" borderId="14" xfId="0" applyFont="1" applyFill="1" applyBorder="1" applyAlignment="1"/>
    <xf numFmtId="0" fontId="2" fillId="23" borderId="14" xfId="0" applyFont="1" applyFill="1" applyBorder="1" applyAlignment="1"/>
    <xf numFmtId="0" fontId="2" fillId="23" borderId="15" xfId="0" applyFont="1" applyFill="1" applyBorder="1" applyAlignment="1"/>
    <xf numFmtId="0" fontId="1" fillId="23" borderId="15" xfId="0" applyFont="1" applyFill="1" applyBorder="1" applyAlignment="1">
      <alignment horizontal="center" wrapText="1"/>
    </xf>
    <xf numFmtId="189" fontId="1" fillId="23" borderId="15" xfId="0" applyNumberFormat="1" applyFont="1" applyFill="1" applyBorder="1" applyAlignment="1">
      <alignment horizontal="right"/>
    </xf>
    <xf numFmtId="188" fontId="1" fillId="23" borderId="15" xfId="0" applyNumberFormat="1" applyFont="1" applyFill="1" applyBorder="1" applyAlignment="1">
      <alignment horizontal="right"/>
    </xf>
    <xf numFmtId="188" fontId="2" fillId="23" borderId="15" xfId="0" applyNumberFormat="1" applyFont="1" applyFill="1" applyBorder="1" applyAlignment="1"/>
    <xf numFmtId="0" fontId="22" fillId="2" borderId="14" xfId="0" quotePrefix="1" applyFont="1" applyFill="1" applyBorder="1" applyAlignment="1"/>
    <xf numFmtId="187" fontId="1" fillId="0" borderId="15" xfId="0" applyNumberFormat="1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3" borderId="15" xfId="0" applyFont="1" applyFill="1" applyBorder="1" applyAlignment="1">
      <alignment horizontal="center"/>
    </xf>
    <xf numFmtId="0" fontId="23" fillId="2" borderId="17" xfId="0" applyFont="1" applyFill="1" applyBorder="1" applyAlignment="1"/>
    <xf numFmtId="0" fontId="23" fillId="2" borderId="14" xfId="0" applyFont="1" applyFill="1" applyBorder="1" applyAlignment="1"/>
    <xf numFmtId="0" fontId="5" fillId="0" borderId="15" xfId="0" applyFont="1" applyBorder="1" applyAlignment="1"/>
    <xf numFmtId="0" fontId="5" fillId="0" borderId="15" xfId="0" applyFont="1" applyBorder="1" applyAlignment="1">
      <alignment horizontal="center"/>
    </xf>
    <xf numFmtId="187" fontId="1" fillId="2" borderId="14" xfId="0" applyNumberFormat="1" applyFont="1" applyFill="1" applyBorder="1" applyAlignment="1"/>
    <xf numFmtId="187" fontId="2" fillId="24" borderId="13" xfId="0" applyNumberFormat="1" applyFont="1" applyFill="1" applyBorder="1" applyAlignment="1"/>
    <xf numFmtId="187" fontId="2" fillId="24" borderId="14" xfId="0" applyNumberFormat="1" applyFont="1" applyFill="1" applyBorder="1" applyAlignment="1"/>
    <xf numFmtId="0" fontId="5" fillId="24" borderId="14" xfId="0" applyFont="1" applyFill="1" applyBorder="1" applyAlignment="1"/>
    <xf numFmtId="0" fontId="2" fillId="24" borderId="14" xfId="0" applyFont="1" applyFill="1" applyBorder="1" applyAlignment="1"/>
    <xf numFmtId="0" fontId="2" fillId="24" borderId="15" xfId="0" applyFont="1" applyFill="1" applyBorder="1" applyAlignment="1"/>
    <xf numFmtId="187" fontId="5" fillId="24" borderId="15" xfId="0" applyNumberFormat="1" applyFont="1" applyFill="1" applyBorder="1" applyAlignment="1">
      <alignment horizontal="center" wrapText="1"/>
    </xf>
    <xf numFmtId="189" fontId="2" fillId="24" borderId="15" xfId="0" applyNumberFormat="1" applyFont="1" applyFill="1" applyBorder="1" applyAlignment="1"/>
    <xf numFmtId="188" fontId="2" fillId="24" borderId="15" xfId="0" applyNumberFormat="1" applyFont="1" applyFill="1" applyBorder="1" applyAlignment="1"/>
    <xf numFmtId="188" fontId="5" fillId="24" borderId="15" xfId="0" applyNumberFormat="1" applyFont="1" applyFill="1" applyBorder="1" applyAlignment="1">
      <alignment horizontal="right"/>
    </xf>
    <xf numFmtId="187" fontId="5" fillId="0" borderId="14" xfId="0" quotePrefix="1" applyNumberFormat="1" applyFont="1" applyBorder="1" applyAlignment="1"/>
    <xf numFmtId="187" fontId="16" fillId="24" borderId="13" xfId="0" applyNumberFormat="1" applyFont="1" applyFill="1" applyBorder="1" applyAlignment="1"/>
    <xf numFmtId="187" fontId="16" fillId="24" borderId="14" xfId="0" applyNumberFormat="1" applyFont="1" applyFill="1" applyBorder="1" applyAlignment="1"/>
    <xf numFmtId="0" fontId="18" fillId="24" borderId="14" xfId="0" applyFont="1" applyFill="1" applyBorder="1" applyAlignment="1"/>
    <xf numFmtId="0" fontId="16" fillId="24" borderId="14" xfId="0" applyFont="1" applyFill="1" applyBorder="1" applyAlignment="1"/>
    <xf numFmtId="0" fontId="16" fillId="24" borderId="15" xfId="0" applyFont="1" applyFill="1" applyBorder="1" applyAlignment="1"/>
    <xf numFmtId="0" fontId="18" fillId="24" borderId="15" xfId="0" applyFont="1" applyFill="1" applyBorder="1" applyAlignment="1">
      <alignment horizontal="center" wrapText="1"/>
    </xf>
    <xf numFmtId="189" fontId="18" fillId="24" borderId="15" xfId="0" applyNumberFormat="1" applyFont="1" applyFill="1" applyBorder="1" applyAlignment="1">
      <alignment horizontal="right"/>
    </xf>
    <xf numFmtId="188" fontId="18" fillId="24" borderId="15" xfId="0" applyNumberFormat="1" applyFont="1" applyFill="1" applyBorder="1" applyAlignment="1">
      <alignment horizontal="right"/>
    </xf>
    <xf numFmtId="190" fontId="16" fillId="24" borderId="13" xfId="0" applyNumberFormat="1" applyFont="1" applyFill="1" applyBorder="1" applyAlignment="1"/>
    <xf numFmtId="0" fontId="18" fillId="24" borderId="14" xfId="0" applyFont="1" applyFill="1" applyBorder="1" applyAlignment="1"/>
    <xf numFmtId="0" fontId="24" fillId="24" borderId="14" xfId="0" applyFont="1" applyFill="1" applyBorder="1" applyAlignment="1"/>
    <xf numFmtId="187" fontId="18" fillId="24" borderId="15" xfId="0" applyNumberFormat="1" applyFont="1" applyFill="1" applyBorder="1" applyAlignment="1">
      <alignment horizontal="center" wrapText="1"/>
    </xf>
    <xf numFmtId="189" fontId="16" fillId="24" borderId="15" xfId="0" applyNumberFormat="1" applyFont="1" applyFill="1" applyBorder="1" applyAlignment="1"/>
    <xf numFmtId="188" fontId="16" fillId="24" borderId="15" xfId="0" applyNumberFormat="1" applyFont="1" applyFill="1" applyBorder="1" applyAlignment="1"/>
    <xf numFmtId="188" fontId="1" fillId="24" borderId="15" xfId="0" applyNumberFormat="1" applyFont="1" applyFill="1" applyBorder="1" applyAlignment="1">
      <alignment horizontal="right"/>
    </xf>
    <xf numFmtId="0" fontId="17" fillId="24" borderId="14" xfId="0" applyFont="1" applyFill="1" applyBorder="1" applyAlignment="1"/>
    <xf numFmtId="187" fontId="17" fillId="24" borderId="15" xfId="0" applyNumberFormat="1" applyFont="1" applyFill="1" applyBorder="1" applyAlignment="1">
      <alignment horizontal="center" wrapText="1"/>
    </xf>
    <xf numFmtId="188" fontId="5" fillId="24" borderId="15" xfId="0" applyNumberFormat="1" applyFont="1" applyFill="1" applyBorder="1" applyAlignment="1">
      <alignment horizontal="right"/>
    </xf>
    <xf numFmtId="187" fontId="18" fillId="24" borderId="14" xfId="0" applyNumberFormat="1" applyFont="1" applyFill="1" applyBorder="1" applyAlignment="1"/>
    <xf numFmtId="0" fontId="25" fillId="24" borderId="14" xfId="0" quotePrefix="1" applyFont="1" applyFill="1" applyBorder="1" applyAlignment="1"/>
    <xf numFmtId="0" fontId="17" fillId="24" borderId="15" xfId="0" applyFont="1" applyFill="1" applyBorder="1" applyAlignment="1">
      <alignment horizontal="center"/>
    </xf>
    <xf numFmtId="189" fontId="17" fillId="24" borderId="15" xfId="0" applyNumberFormat="1" applyFont="1" applyFill="1" applyBorder="1" applyAlignment="1">
      <alignment horizontal="right"/>
    </xf>
    <xf numFmtId="189" fontId="17" fillId="24" borderId="15" xfId="0" applyNumberFormat="1" applyFont="1" applyFill="1" applyBorder="1" applyAlignment="1">
      <alignment horizontal="right"/>
    </xf>
    <xf numFmtId="188" fontId="17" fillId="24" borderId="15" xfId="0" applyNumberFormat="1" applyFont="1" applyFill="1" applyBorder="1" applyAlignment="1">
      <alignment horizontal="right"/>
    </xf>
    <xf numFmtId="187" fontId="17" fillId="24" borderId="14" xfId="0" quotePrefix="1" applyNumberFormat="1" applyFont="1" applyFill="1" applyBorder="1" applyAlignment="1"/>
    <xf numFmtId="0" fontId="17" fillId="24" borderId="14" xfId="0" quotePrefix="1" applyFont="1" applyFill="1" applyBorder="1" applyAlignment="1"/>
    <xf numFmtId="189" fontId="1" fillId="21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/>
    <xf numFmtId="187" fontId="2" fillId="8" borderId="13" xfId="0" applyNumberFormat="1" applyFont="1" applyFill="1" applyBorder="1" applyAlignment="1"/>
    <xf numFmtId="0" fontId="26" fillId="8" borderId="14" xfId="0" applyFont="1" applyFill="1" applyBorder="1" applyAlignment="1"/>
    <xf numFmtId="189" fontId="5" fillId="8" borderId="15" xfId="0" applyNumberFormat="1" applyFont="1" applyFill="1" applyBorder="1" applyAlignment="1">
      <alignment horizontal="right"/>
    </xf>
    <xf numFmtId="187" fontId="2" fillId="0" borderId="19" xfId="0" applyNumberFormat="1" applyFont="1" applyBorder="1" applyAlignment="1"/>
    <xf numFmtId="187" fontId="2" fillId="0" borderId="0" xfId="0" applyNumberFormat="1" applyFont="1" applyAlignment="1"/>
    <xf numFmtId="0" fontId="5" fillId="0" borderId="0" xfId="0" quotePrefix="1" applyFont="1" applyAlignment="1"/>
    <xf numFmtId="0" fontId="2" fillId="0" borderId="0" xfId="0" applyFont="1" applyAlignment="1"/>
    <xf numFmtId="0" fontId="2" fillId="0" borderId="20" xfId="0" applyFont="1" applyBorder="1" applyAlignment="1"/>
    <xf numFmtId="189" fontId="5" fillId="2" borderId="20" xfId="0" applyNumberFormat="1" applyFont="1" applyFill="1" applyBorder="1" applyAlignment="1">
      <alignment horizontal="right"/>
    </xf>
    <xf numFmtId="188" fontId="5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/>
    <xf numFmtId="187" fontId="27" fillId="25" borderId="5" xfId="0" applyNumberFormat="1" applyFont="1" applyFill="1" applyBorder="1" applyAlignment="1"/>
    <xf numFmtId="187" fontId="28" fillId="25" borderId="6" xfId="0" applyNumberFormat="1" applyFont="1" applyFill="1" applyBorder="1" applyAlignment="1"/>
    <xf numFmtId="0" fontId="28" fillId="25" borderId="6" xfId="0" applyFont="1" applyFill="1" applyBorder="1" applyAlignment="1"/>
    <xf numFmtId="189" fontId="28" fillId="25" borderId="6" xfId="0" applyNumberFormat="1" applyFont="1" applyFill="1" applyBorder="1" applyAlignment="1"/>
    <xf numFmtId="188" fontId="28" fillId="25" borderId="6" xfId="0" applyNumberFormat="1" applyFont="1" applyFill="1" applyBorder="1" applyAlignment="1"/>
    <xf numFmtId="188" fontId="2" fillId="25" borderId="6" xfId="0" applyNumberFormat="1" applyFont="1" applyFill="1" applyBorder="1" applyAlignment="1"/>
    <xf numFmtId="188" fontId="2" fillId="25" borderId="7" xfId="0" applyNumberFormat="1" applyFont="1" applyFill="1" applyBorder="1" applyAlignment="1"/>
    <xf numFmtId="187" fontId="1" fillId="26" borderId="13" xfId="0" applyNumberFormat="1" applyFont="1" applyFill="1" applyBorder="1" applyAlignment="1"/>
    <xf numFmtId="0" fontId="2" fillId="26" borderId="14" xfId="0" applyFont="1" applyFill="1" applyBorder="1" applyAlignment="1"/>
    <xf numFmtId="187" fontId="2" fillId="26" borderId="14" xfId="0" applyNumberFormat="1" applyFont="1" applyFill="1" applyBorder="1" applyAlignment="1"/>
    <xf numFmtId="189" fontId="2" fillId="26" borderId="14" xfId="0" applyNumberFormat="1" applyFont="1" applyFill="1" applyBorder="1" applyAlignment="1"/>
    <xf numFmtId="189" fontId="2" fillId="26" borderId="15" xfId="0" applyNumberFormat="1" applyFont="1" applyFill="1" applyBorder="1" applyAlignment="1"/>
    <xf numFmtId="188" fontId="2" fillId="26" borderId="15" xfId="0" applyNumberFormat="1" applyFont="1" applyFill="1" applyBorder="1" applyAlignment="1"/>
    <xf numFmtId="190" fontId="2" fillId="27" borderId="13" xfId="0" applyNumberFormat="1" applyFont="1" applyFill="1" applyBorder="1" applyAlignment="1"/>
    <xf numFmtId="0" fontId="1" fillId="27" borderId="14" xfId="0" applyFont="1" applyFill="1" applyBorder="1" applyAlignment="1"/>
    <xf numFmtId="0" fontId="2" fillId="27" borderId="14" xfId="0" applyFont="1" applyFill="1" applyBorder="1" applyAlignment="1"/>
    <xf numFmtId="187" fontId="2" fillId="27" borderId="14" xfId="0" applyNumberFormat="1" applyFont="1" applyFill="1" applyBorder="1" applyAlignment="1"/>
    <xf numFmtId="0" fontId="2" fillId="27" borderId="15" xfId="0" applyFont="1" applyFill="1" applyBorder="1" applyAlignment="1"/>
    <xf numFmtId="0" fontId="1" fillId="27" borderId="15" xfId="0" applyFont="1" applyFill="1" applyBorder="1" applyAlignment="1">
      <alignment horizontal="center" wrapText="1"/>
    </xf>
    <xf numFmtId="189" fontId="1" fillId="27" borderId="15" xfId="0" applyNumberFormat="1" applyFont="1" applyFill="1" applyBorder="1" applyAlignment="1">
      <alignment horizontal="right"/>
    </xf>
    <xf numFmtId="188" fontId="1" fillId="27" borderId="15" xfId="0" applyNumberFormat="1" applyFont="1" applyFill="1" applyBorder="1" applyAlignment="1">
      <alignment horizontal="right"/>
    </xf>
    <xf numFmtId="188" fontId="2" fillId="27" borderId="15" xfId="0" applyNumberFormat="1" applyFont="1" applyFill="1" applyBorder="1" applyAlignment="1"/>
    <xf numFmtId="0" fontId="1" fillId="0" borderId="14" xfId="0" applyFont="1" applyBorder="1" applyAlignment="1"/>
    <xf numFmtId="187" fontId="2" fillId="8" borderId="19" xfId="0" applyNumberFormat="1" applyFont="1" applyFill="1" applyBorder="1" applyAlignment="1"/>
    <xf numFmtId="187" fontId="2" fillId="8" borderId="0" xfId="0" applyNumberFormat="1" applyFont="1" applyFill="1" applyAlignment="1"/>
    <xf numFmtId="0" fontId="2" fillId="8" borderId="0" xfId="0" applyFont="1" applyFill="1" applyAlignment="1"/>
    <xf numFmtId="0" fontId="5" fillId="8" borderId="0" xfId="0" applyFont="1" applyFill="1" applyAlignment="1"/>
    <xf numFmtId="0" fontId="2" fillId="8" borderId="20" xfId="0" applyFont="1" applyFill="1" applyBorder="1" applyAlignment="1"/>
    <xf numFmtId="0" fontId="5" fillId="8" borderId="20" xfId="0" applyFont="1" applyFill="1" applyBorder="1" applyAlignment="1">
      <alignment horizontal="center"/>
    </xf>
    <xf numFmtId="189" fontId="5" fillId="8" borderId="20" xfId="0" applyNumberFormat="1" applyFont="1" applyFill="1" applyBorder="1" applyAlignment="1">
      <alignment horizontal="right"/>
    </xf>
    <xf numFmtId="188" fontId="5" fillId="8" borderId="20" xfId="0" applyNumberFormat="1" applyFont="1" applyFill="1" applyBorder="1" applyAlignment="1">
      <alignment horizontal="right"/>
    </xf>
    <xf numFmtId="188" fontId="2" fillId="8" borderId="20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6" xfId="0" applyNumberFormat="1" applyFont="1" applyFill="1" applyBorder="1" applyAlignment="1"/>
    <xf numFmtId="0" fontId="2" fillId="28" borderId="6" xfId="0" applyFont="1" applyFill="1" applyBorder="1" applyAlignment="1"/>
    <xf numFmtId="189" fontId="2" fillId="28" borderId="6" xfId="0" applyNumberFormat="1" applyFont="1" applyFill="1" applyBorder="1" applyAlignment="1"/>
    <xf numFmtId="188" fontId="2" fillId="28" borderId="6" xfId="0" applyNumberFormat="1" applyFont="1" applyFill="1" applyBorder="1" applyAlignment="1"/>
    <xf numFmtId="188" fontId="2" fillId="28" borderId="7" xfId="0" applyNumberFormat="1" applyFont="1" applyFill="1" applyBorder="1" applyAlignment="1"/>
    <xf numFmtId="187" fontId="1" fillId="29" borderId="13" xfId="0" applyNumberFormat="1" applyFont="1" applyFill="1" applyBorder="1" applyAlignment="1"/>
    <xf numFmtId="187" fontId="2" fillId="29" borderId="14" xfId="0" applyNumberFormat="1" applyFont="1" applyFill="1" applyBorder="1" applyAlignment="1"/>
    <xf numFmtId="0" fontId="2" fillId="29" borderId="14" xfId="0" applyFont="1" applyFill="1" applyBorder="1" applyAlignment="1"/>
    <xf numFmtId="0" fontId="2" fillId="29" borderId="15" xfId="0" applyFont="1" applyFill="1" applyBorder="1" applyAlignment="1"/>
    <xf numFmtId="189" fontId="2" fillId="29" borderId="15" xfId="0" applyNumberFormat="1" applyFont="1" applyFill="1" applyBorder="1" applyAlignment="1"/>
    <xf numFmtId="188" fontId="2" fillId="29" borderId="15" xfId="0" applyNumberFormat="1" applyFont="1" applyFill="1" applyBorder="1" applyAlignment="1"/>
    <xf numFmtId="187" fontId="2" fillId="30" borderId="13" xfId="0" applyNumberFormat="1" applyFont="1" applyFill="1" applyBorder="1" applyAlignment="1"/>
    <xf numFmtId="0" fontId="1" fillId="30" borderId="14" xfId="0" applyFont="1" applyFill="1" applyBorder="1" applyAlignment="1"/>
    <xf numFmtId="0" fontId="2" fillId="30" borderId="14" xfId="0" applyFont="1" applyFill="1" applyBorder="1" applyAlignment="1"/>
    <xf numFmtId="0" fontId="2" fillId="30" borderId="15" xfId="0" applyFont="1" applyFill="1" applyBorder="1" applyAlignment="1"/>
    <xf numFmtId="0" fontId="1" fillId="30" borderId="15" xfId="0" applyFont="1" applyFill="1" applyBorder="1" applyAlignment="1">
      <alignment horizontal="center" wrapText="1"/>
    </xf>
    <xf numFmtId="189" fontId="1" fillId="30" borderId="15" xfId="0" applyNumberFormat="1" applyFont="1" applyFill="1" applyBorder="1" applyAlignment="1">
      <alignment horizontal="right"/>
    </xf>
    <xf numFmtId="188" fontId="1" fillId="30" borderId="15" xfId="0" applyNumberFormat="1" applyFont="1" applyFill="1" applyBorder="1" applyAlignment="1">
      <alignment horizontal="right"/>
    </xf>
    <xf numFmtId="188" fontId="2" fillId="30" borderId="15" xfId="0" applyNumberFormat="1" applyFont="1" applyFill="1" applyBorder="1" applyAlignment="1"/>
    <xf numFmtId="190" fontId="2" fillId="30" borderId="13" xfId="0" applyNumberFormat="1" applyFont="1" applyFill="1" applyBorder="1" applyAlignment="1"/>
    <xf numFmtId="190" fontId="2" fillId="30" borderId="14" xfId="0" applyNumberFormat="1" applyFont="1" applyFill="1" applyBorder="1" applyAlignment="1"/>
    <xf numFmtId="187" fontId="2" fillId="30" borderId="14" xfId="0" applyNumberFormat="1" applyFont="1" applyFill="1" applyBorder="1" applyAlignment="1"/>
    <xf numFmtId="189" fontId="29" fillId="30" borderId="25" xfId="0" applyNumberFormat="1" applyFont="1" applyFill="1" applyBorder="1" applyAlignment="1">
      <alignment horizontal="right"/>
    </xf>
    <xf numFmtId="189" fontId="29" fillId="30" borderId="18" xfId="0" applyNumberFormat="1" applyFont="1" applyFill="1" applyBorder="1" applyAlignment="1">
      <alignment horizontal="right"/>
    </xf>
    <xf numFmtId="188" fontId="29" fillId="30" borderId="18" xfId="0" applyNumberFormat="1" applyFont="1" applyFill="1" applyBorder="1" applyAlignment="1">
      <alignment horizontal="right"/>
    </xf>
    <xf numFmtId="0" fontId="1" fillId="21" borderId="14" xfId="0" applyFont="1" applyFill="1" applyBorder="1" applyAlignment="1"/>
    <xf numFmtId="0" fontId="2" fillId="2" borderId="21" xfId="0" applyFont="1" applyFill="1" applyBorder="1" applyAlignment="1"/>
    <xf numFmtId="189" fontId="2" fillId="2" borderId="21" xfId="0" applyNumberFormat="1" applyFont="1" applyFill="1" applyBorder="1" applyAlignment="1"/>
    <xf numFmtId="188" fontId="2" fillId="2" borderId="21" xfId="0" applyNumberFormat="1" applyFont="1" applyFill="1" applyBorder="1" applyAlignment="1"/>
    <xf numFmtId="187" fontId="30" fillId="23" borderId="16" xfId="0" applyNumberFormat="1" applyFont="1" applyFill="1" applyBorder="1" applyAlignment="1"/>
    <xf numFmtId="0" fontId="30" fillId="23" borderId="17" xfId="0" applyFont="1" applyFill="1" applyBorder="1" applyAlignment="1"/>
    <xf numFmtId="187" fontId="30" fillId="23" borderId="17" xfId="0" applyNumberFormat="1" applyFont="1" applyFill="1" applyBorder="1" applyAlignment="1"/>
    <xf numFmtId="187" fontId="31" fillId="23" borderId="17" xfId="0" applyNumberFormat="1" applyFont="1" applyFill="1" applyBorder="1" applyAlignment="1"/>
    <xf numFmtId="0" fontId="30" fillId="23" borderId="18" xfId="0" applyFont="1" applyFill="1" applyBorder="1" applyAlignment="1"/>
    <xf numFmtId="0" fontId="29" fillId="23" borderId="18" xfId="0" applyFont="1" applyFill="1" applyBorder="1" applyAlignment="1">
      <alignment horizontal="center" wrapText="1"/>
    </xf>
    <xf numFmtId="189" fontId="29" fillId="23" borderId="18" xfId="0" applyNumberFormat="1" applyFont="1" applyFill="1" applyBorder="1" applyAlignment="1">
      <alignment horizontal="right"/>
    </xf>
    <xf numFmtId="188" fontId="29" fillId="23" borderId="18" xfId="0" applyNumberFormat="1" applyFont="1" applyFill="1" applyBorder="1" applyAlignment="1">
      <alignment horizontal="right"/>
    </xf>
    <xf numFmtId="188" fontId="2" fillId="23" borderId="18" xfId="0" applyNumberFormat="1" applyFont="1" applyFill="1" applyBorder="1" applyAlignment="1"/>
    <xf numFmtId="187" fontId="30" fillId="2" borderId="13" xfId="0" applyNumberFormat="1" applyFont="1" applyFill="1" applyBorder="1" applyAlignment="1"/>
    <xf numFmtId="0" fontId="30" fillId="2" borderId="14" xfId="0" applyFont="1" applyFill="1" applyBorder="1" applyAlignment="1"/>
    <xf numFmtId="187" fontId="30" fillId="2" borderId="14" xfId="0" applyNumberFormat="1" applyFont="1" applyFill="1" applyBorder="1" applyAlignment="1"/>
    <xf numFmtId="0" fontId="30" fillId="0" borderId="14" xfId="0" applyFont="1" applyBorder="1" applyAlignment="1"/>
    <xf numFmtId="0" fontId="23" fillId="0" borderId="14" xfId="0" applyFont="1" applyBorder="1" applyAlignment="1"/>
    <xf numFmtId="0" fontId="30" fillId="2" borderId="15" xfId="0" applyFont="1" applyFill="1" applyBorder="1" applyAlignment="1"/>
    <xf numFmtId="0" fontId="23" fillId="2" borderId="15" xfId="0" applyFont="1" applyFill="1" applyBorder="1" applyAlignment="1">
      <alignment horizontal="center" wrapText="1"/>
    </xf>
    <xf numFmtId="189" fontId="23" fillId="2" borderId="15" xfId="0" applyNumberFormat="1" applyFont="1" applyFill="1" applyBorder="1" applyAlignment="1">
      <alignment horizontal="right"/>
    </xf>
    <xf numFmtId="188" fontId="23" fillId="2" borderId="15" xfId="0" applyNumberFormat="1" applyFont="1" applyFill="1" applyBorder="1" applyAlignment="1">
      <alignment horizontal="right"/>
    </xf>
    <xf numFmtId="187" fontId="30" fillId="2" borderId="15" xfId="0" applyNumberFormat="1" applyFont="1" applyFill="1" applyBorder="1" applyAlignment="1"/>
    <xf numFmtId="189" fontId="30" fillId="2" borderId="15" xfId="0" applyNumberFormat="1" applyFont="1" applyFill="1" applyBorder="1" applyAlignment="1"/>
    <xf numFmtId="188" fontId="30" fillId="2" borderId="15" xfId="0" applyNumberFormat="1" applyFont="1" applyFill="1" applyBorder="1" applyAlignment="1"/>
    <xf numFmtId="187" fontId="23" fillId="2" borderId="15" xfId="0" applyNumberFormat="1" applyFont="1" applyFill="1" applyBorder="1" applyAlignment="1">
      <alignment horizontal="center" wrapText="1"/>
    </xf>
    <xf numFmtId="187" fontId="30" fillId="0" borderId="14" xfId="0" applyNumberFormat="1" applyFont="1" applyBorder="1" applyAlignment="1"/>
    <xf numFmtId="187" fontId="32" fillId="2" borderId="14" xfId="0" applyNumberFormat="1" applyFont="1" applyFill="1" applyBorder="1" applyAlignment="1"/>
    <xf numFmtId="187" fontId="30" fillId="23" borderId="13" xfId="0" applyNumberFormat="1" applyFont="1" applyFill="1" applyBorder="1" applyAlignment="1"/>
    <xf numFmtId="0" fontId="30" fillId="23" borderId="14" xfId="0" applyFont="1" applyFill="1" applyBorder="1" applyAlignment="1"/>
    <xf numFmtId="187" fontId="30" fillId="23" borderId="14" xfId="0" applyNumberFormat="1" applyFont="1" applyFill="1" applyBorder="1" applyAlignment="1"/>
    <xf numFmtId="0" fontId="33" fillId="23" borderId="14" xfId="0" applyFont="1" applyFill="1" applyBorder="1" applyAlignment="1"/>
    <xf numFmtId="0" fontId="30" fillId="23" borderId="15" xfId="0" applyFont="1" applyFill="1" applyBorder="1" applyAlignment="1"/>
    <xf numFmtId="0" fontId="29" fillId="23" borderId="15" xfId="0" applyFont="1" applyFill="1" applyBorder="1" applyAlignment="1">
      <alignment horizontal="center" wrapText="1"/>
    </xf>
    <xf numFmtId="189" fontId="29" fillId="23" borderId="15" xfId="0" applyNumberFormat="1" applyFont="1" applyFill="1" applyBorder="1" applyAlignment="1">
      <alignment horizontal="right"/>
    </xf>
    <xf numFmtId="188" fontId="29" fillId="23" borderId="15" xfId="0" applyNumberFormat="1" applyFont="1" applyFill="1" applyBorder="1" applyAlignment="1">
      <alignment horizontal="right"/>
    </xf>
    <xf numFmtId="187" fontId="23" fillId="2" borderId="15" xfId="0" applyNumberFormat="1" applyFont="1" applyFill="1" applyBorder="1" applyAlignment="1">
      <alignment horizontal="center"/>
    </xf>
    <xf numFmtId="189" fontId="2" fillId="30" borderId="15" xfId="0" applyNumberFormat="1" applyFont="1" applyFill="1" applyBorder="1" applyAlignment="1"/>
    <xf numFmtId="0" fontId="34" fillId="23" borderId="14" xfId="0" applyFont="1" applyFill="1" applyBorder="1" applyAlignment="1"/>
    <xf numFmtId="0" fontId="1" fillId="23" borderId="15" xfId="0" applyFont="1" applyFill="1" applyBorder="1" applyAlignment="1">
      <alignment horizontal="center"/>
    </xf>
    <xf numFmtId="189" fontId="1" fillId="23" borderId="15" xfId="0" applyNumberFormat="1" applyFont="1" applyFill="1" applyBorder="1" applyAlignment="1"/>
    <xf numFmtId="189" fontId="1" fillId="23" borderId="15" xfId="0" applyNumberFormat="1" applyFont="1" applyFill="1" applyBorder="1" applyAlignment="1"/>
    <xf numFmtId="188" fontId="1" fillId="23" borderId="15" xfId="0" applyNumberFormat="1" applyFont="1" applyFill="1" applyBorder="1" applyAlignment="1"/>
    <xf numFmtId="0" fontId="5" fillId="0" borderId="14" xfId="0" quotePrefix="1" applyFont="1" applyBorder="1" applyAlignment="1"/>
    <xf numFmtId="187" fontId="35" fillId="0" borderId="19" xfId="0" applyNumberFormat="1" applyFont="1" applyBorder="1" applyAlignment="1"/>
    <xf numFmtId="0" fontId="5" fillId="0" borderId="20" xfId="0" applyFont="1" applyBorder="1" applyAlignment="1">
      <alignment horizontal="center"/>
    </xf>
    <xf numFmtId="187" fontId="36" fillId="2" borderId="26" xfId="0" applyNumberFormat="1" applyFont="1" applyFill="1" applyBorder="1" applyAlignment="1"/>
    <xf numFmtId="0" fontId="1" fillId="2" borderId="26" xfId="0" applyFont="1" applyFill="1" applyBorder="1" applyAlignment="1"/>
    <xf numFmtId="187" fontId="2" fillId="2" borderId="26" xfId="0" applyNumberFormat="1" applyFont="1" applyFill="1" applyBorder="1" applyAlignment="1"/>
    <xf numFmtId="187" fontId="37" fillId="2" borderId="26" xfId="0" applyNumberFormat="1" applyFont="1" applyFill="1" applyBorder="1" applyAlignment="1"/>
    <xf numFmtId="0" fontId="2" fillId="2" borderId="26" xfId="0" applyFont="1" applyFill="1" applyBorder="1" applyAlignment="1"/>
    <xf numFmtId="0" fontId="2" fillId="2" borderId="27" xfId="0" applyFont="1" applyFill="1" applyBorder="1" applyAlignment="1"/>
    <xf numFmtId="189" fontId="2" fillId="2" borderId="28" xfId="0" applyNumberFormat="1" applyFont="1" applyFill="1" applyBorder="1" applyAlignment="1"/>
    <xf numFmtId="188" fontId="2" fillId="2" borderId="28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6" xfId="0" applyNumberFormat="1" applyFont="1" applyFill="1" applyBorder="1" applyAlignment="1"/>
    <xf numFmtId="0" fontId="2" fillId="31" borderId="6" xfId="0" applyFont="1" applyFill="1" applyBorder="1" applyAlignment="1"/>
    <xf numFmtId="189" fontId="2" fillId="31" borderId="6" xfId="0" applyNumberFormat="1" applyFont="1" applyFill="1" applyBorder="1" applyAlignment="1"/>
    <xf numFmtId="188" fontId="2" fillId="31" borderId="6" xfId="0" applyNumberFormat="1" applyFont="1" applyFill="1" applyBorder="1" applyAlignment="1"/>
    <xf numFmtId="188" fontId="2" fillId="31" borderId="7" xfId="0" applyNumberFormat="1" applyFont="1" applyFill="1" applyBorder="1" applyAlignment="1"/>
    <xf numFmtId="187" fontId="1" fillId="32" borderId="13" xfId="0" applyNumberFormat="1" applyFont="1" applyFill="1" applyBorder="1" applyAlignment="1"/>
    <xf numFmtId="187" fontId="2" fillId="32" borderId="14" xfId="0" applyNumberFormat="1" applyFont="1" applyFill="1" applyBorder="1" applyAlignment="1"/>
    <xf numFmtId="0" fontId="2" fillId="32" borderId="14" xfId="0" applyFont="1" applyFill="1" applyBorder="1" applyAlignment="1"/>
    <xf numFmtId="0" fontId="2" fillId="32" borderId="15" xfId="0" applyFont="1" applyFill="1" applyBorder="1" applyAlignment="1"/>
    <xf numFmtId="189" fontId="2" fillId="32" borderId="15" xfId="0" applyNumberFormat="1" applyFont="1" applyFill="1" applyBorder="1" applyAlignment="1"/>
    <xf numFmtId="188" fontId="2" fillId="32" borderId="15" xfId="0" applyNumberFormat="1" applyFont="1" applyFill="1" applyBorder="1" applyAlignment="1"/>
    <xf numFmtId="187" fontId="2" fillId="33" borderId="13" xfId="0" applyNumberFormat="1" applyFont="1" applyFill="1" applyBorder="1" applyAlignment="1"/>
    <xf numFmtId="0" fontId="1" fillId="33" borderId="14" xfId="0" applyFont="1" applyFill="1" applyBorder="1" applyAlignment="1"/>
    <xf numFmtId="187" fontId="2" fillId="33" borderId="14" xfId="0" applyNumberFormat="1" applyFont="1" applyFill="1" applyBorder="1" applyAlignment="1"/>
    <xf numFmtId="0" fontId="2" fillId="33" borderId="14" xfId="0" applyFont="1" applyFill="1" applyBorder="1" applyAlignment="1"/>
    <xf numFmtId="0" fontId="2" fillId="33" borderId="15" xfId="0" applyFont="1" applyFill="1" applyBorder="1" applyAlignment="1"/>
    <xf numFmtId="0" fontId="1" fillId="33" borderId="15" xfId="0" applyFont="1" applyFill="1" applyBorder="1" applyAlignment="1">
      <alignment horizontal="center" wrapText="1"/>
    </xf>
    <xf numFmtId="189" fontId="1" fillId="33" borderId="15" xfId="0" applyNumberFormat="1" applyFont="1" applyFill="1" applyBorder="1" applyAlignment="1">
      <alignment horizontal="right"/>
    </xf>
    <xf numFmtId="188" fontId="1" fillId="33" borderId="15" xfId="0" applyNumberFormat="1" applyFont="1" applyFill="1" applyBorder="1" applyAlignment="1">
      <alignment horizontal="right"/>
    </xf>
    <xf numFmtId="188" fontId="2" fillId="33" borderId="15" xfId="0" applyNumberFormat="1" applyFont="1" applyFill="1" applyBorder="1" applyAlignment="1"/>
    <xf numFmtId="187" fontId="2" fillId="2" borderId="8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5" fillId="0" borderId="9" xfId="0" applyFont="1" applyBorder="1" applyAlignment="1"/>
    <xf numFmtId="187" fontId="2" fillId="0" borderId="9" xfId="0" applyNumberFormat="1" applyFont="1" applyBorder="1" applyAlignment="1"/>
    <xf numFmtId="0" fontId="5" fillId="2" borderId="10" xfId="0" applyFont="1" applyFill="1" applyBorder="1" applyAlignment="1">
      <alignment horizontal="center" wrapText="1"/>
    </xf>
    <xf numFmtId="189" fontId="5" fillId="2" borderId="10" xfId="0" applyNumberFormat="1" applyFont="1" applyFill="1" applyBorder="1" applyAlignment="1">
      <alignment horizontal="right"/>
    </xf>
    <xf numFmtId="0" fontId="38" fillId="0" borderId="0" xfId="0" applyFont="1"/>
    <xf numFmtId="0" fontId="37" fillId="0" borderId="0" xfId="0" applyFont="1" applyAlignment="1"/>
    <xf numFmtId="0" fontId="39" fillId="0" borderId="0" xfId="0" applyFont="1"/>
    <xf numFmtId="188" fontId="16" fillId="2" borderId="10" xfId="0" applyNumberFormat="1" applyFont="1" applyFill="1" applyBorder="1" applyAlignment="1"/>
    <xf numFmtId="188" fontId="17" fillId="2" borderId="10" xfId="0" applyNumberFormat="1" applyFont="1" applyFill="1" applyBorder="1" applyAlignment="1">
      <alignment horizontal="right"/>
    </xf>
    <xf numFmtId="189" fontId="17" fillId="34" borderId="10" xfId="0" applyNumberFormat="1" applyFont="1" applyFill="1" applyBorder="1" applyAlignment="1">
      <alignment horizontal="right"/>
    </xf>
    <xf numFmtId="189" fontId="17" fillId="2" borderId="10" xfId="0" applyNumberFormat="1" applyFont="1" applyFill="1" applyBorder="1" applyAlignment="1">
      <alignment horizontal="right"/>
    </xf>
    <xf numFmtId="0" fontId="17" fillId="2" borderId="10" xfId="0" applyFont="1" applyFill="1" applyBorder="1" applyAlignment="1">
      <alignment horizontal="center" wrapText="1"/>
    </xf>
    <xf numFmtId="0" fontId="16" fillId="2" borderId="10" xfId="0" applyFont="1" applyFill="1" applyBorder="1" applyAlignment="1"/>
    <xf numFmtId="0" fontId="16" fillId="2" borderId="9" xfId="0" applyFont="1" applyFill="1" applyBorder="1" applyAlignment="1"/>
    <xf numFmtId="187" fontId="16" fillId="0" borderId="9" xfId="0" applyNumberFormat="1" applyFont="1" applyBorder="1" applyAlignment="1"/>
    <xf numFmtId="0" fontId="17" fillId="0" borderId="9" xfId="0" applyFont="1" applyBorder="1" applyAlignment="1"/>
    <xf numFmtId="187" fontId="16" fillId="2" borderId="9" xfId="0" applyNumberFormat="1" applyFont="1" applyFill="1" applyBorder="1" applyAlignment="1"/>
    <xf numFmtId="187" fontId="16" fillId="2" borderId="8" xfId="0" applyNumberFormat="1" applyFont="1" applyFill="1" applyBorder="1" applyAlignment="1"/>
    <xf numFmtId="188" fontId="16" fillId="2" borderId="15" xfId="0" applyNumberFormat="1" applyFont="1" applyFill="1" applyBorder="1" applyAlignment="1"/>
    <xf numFmtId="188" fontId="17" fillId="2" borderId="15" xfId="0" applyNumberFormat="1" applyFont="1" applyFill="1" applyBorder="1" applyAlignment="1">
      <alignment horizontal="right"/>
    </xf>
    <xf numFmtId="189" fontId="17" fillId="34" borderId="15" xfId="0" applyNumberFormat="1" applyFont="1" applyFill="1" applyBorder="1" applyAlignment="1">
      <alignment horizontal="right"/>
    </xf>
    <xf numFmtId="0" fontId="17" fillId="2" borderId="15" xfId="0" applyFont="1" applyFill="1" applyBorder="1" applyAlignment="1">
      <alignment horizontal="center" wrapText="1"/>
    </xf>
    <xf numFmtId="0" fontId="16" fillId="2" borderId="15" xfId="0" applyFont="1" applyFill="1" applyBorder="1" applyAlignment="1"/>
    <xf numFmtId="0" fontId="16" fillId="2" borderId="14" xfId="0" applyFont="1" applyFill="1" applyBorder="1" applyAlignment="1"/>
    <xf numFmtId="187" fontId="16" fillId="0" borderId="14" xfId="0" applyNumberFormat="1" applyFont="1" applyBorder="1" applyAlignment="1"/>
    <xf numFmtId="0" fontId="17" fillId="0" borderId="14" xfId="0" applyFont="1" applyBorder="1" applyAlignment="1"/>
    <xf numFmtId="187" fontId="16" fillId="2" borderId="14" xfId="0" applyNumberFormat="1" applyFont="1" applyFill="1" applyBorder="1" applyAlignment="1"/>
    <xf numFmtId="187" fontId="16" fillId="2" borderId="13" xfId="0" applyNumberFormat="1" applyFont="1" applyFill="1" applyBorder="1" applyAlignment="1"/>
    <xf numFmtId="188" fontId="16" fillId="0" borderId="15" xfId="0" applyNumberFormat="1" applyFont="1" applyBorder="1" applyAlignment="1"/>
    <xf numFmtId="189" fontId="16" fillId="0" borderId="15" xfId="0" applyNumberFormat="1" applyFont="1" applyBorder="1" applyAlignment="1"/>
    <xf numFmtId="0" fontId="16" fillId="0" borderId="15" xfId="0" applyFont="1" applyBorder="1" applyAlignment="1"/>
    <xf numFmtId="0" fontId="16" fillId="21" borderId="15" xfId="0" applyFont="1" applyFill="1" applyBorder="1" applyAlignment="1"/>
    <xf numFmtId="0" fontId="16" fillId="21" borderId="14" xfId="0" applyFont="1" applyFill="1" applyBorder="1" applyAlignment="1"/>
    <xf numFmtId="0" fontId="24" fillId="21" borderId="14" xfId="0" quotePrefix="1" applyFont="1" applyFill="1" applyBorder="1" applyAlignment="1"/>
    <xf numFmtId="0" fontId="18" fillId="2" borderId="14" xfId="0" applyFont="1" applyFill="1" applyBorder="1" applyAlignment="1"/>
    <xf numFmtId="187" fontId="16" fillId="0" borderId="13" xfId="0" applyNumberFormat="1" applyFont="1" applyBorder="1" applyAlignment="1"/>
    <xf numFmtId="187" fontId="17" fillId="0" borderId="15" xfId="0" applyNumberFormat="1" applyFont="1" applyBorder="1" applyAlignment="1">
      <alignment horizontal="center"/>
    </xf>
    <xf numFmtId="0" fontId="17" fillId="2" borderId="14" xfId="0" applyFont="1" applyFill="1" applyBorder="1" applyAlignment="1"/>
    <xf numFmtId="190" fontId="16" fillId="2" borderId="13" xfId="0" applyNumberFormat="1" applyFont="1" applyFill="1" applyBorder="1" applyAlignment="1"/>
    <xf numFmtId="187" fontId="17" fillId="0" borderId="15" xfId="0" applyNumberFormat="1" applyFont="1" applyBorder="1" applyAlignment="1">
      <alignment horizontal="center" wrapText="1"/>
    </xf>
    <xf numFmtId="0" fontId="40" fillId="2" borderId="14" xfId="0" applyFont="1" applyFill="1" applyBorder="1" applyAlignment="1"/>
    <xf numFmtId="187" fontId="17" fillId="2" borderId="15" xfId="0" applyNumberFormat="1" applyFont="1" applyFill="1" applyBorder="1" applyAlignment="1">
      <alignment horizontal="center"/>
    </xf>
    <xf numFmtId="188" fontId="18" fillId="2" borderId="15" xfId="0" applyNumberFormat="1" applyFont="1" applyFill="1" applyBorder="1" applyAlignment="1">
      <alignment horizontal="right"/>
    </xf>
    <xf numFmtId="187" fontId="18" fillId="2" borderId="15" xfId="0" applyNumberFormat="1" applyFont="1" applyFill="1" applyBorder="1" applyAlignment="1">
      <alignment horizontal="center"/>
    </xf>
    <xf numFmtId="0" fontId="24" fillId="2" borderId="14" xfId="0" applyFont="1" applyFill="1" applyBorder="1" applyAlignment="1"/>
    <xf numFmtId="188" fontId="16" fillId="33" borderId="15" xfId="0" applyNumberFormat="1" applyFont="1" applyFill="1" applyBorder="1" applyAlignment="1"/>
    <xf numFmtId="188" fontId="18" fillId="33" borderId="15" xfId="0" applyNumberFormat="1" applyFont="1" applyFill="1" applyBorder="1" applyAlignment="1">
      <alignment horizontal="right"/>
    </xf>
    <xf numFmtId="189" fontId="18" fillId="33" borderId="15" xfId="0" applyNumberFormat="1" applyFont="1" applyFill="1" applyBorder="1" applyAlignment="1">
      <alignment horizontal="right"/>
    </xf>
    <xf numFmtId="0" fontId="18" fillId="33" borderId="15" xfId="0" applyFont="1" applyFill="1" applyBorder="1" applyAlignment="1">
      <alignment horizontal="center" wrapText="1"/>
    </xf>
    <xf numFmtId="0" fontId="16" fillId="33" borderId="15" xfId="0" applyFont="1" applyFill="1" applyBorder="1" applyAlignment="1"/>
    <xf numFmtId="0" fontId="16" fillId="33" borderId="14" xfId="0" applyFont="1" applyFill="1" applyBorder="1" applyAlignment="1"/>
    <xf numFmtId="187" fontId="16" fillId="33" borderId="14" xfId="0" applyNumberFormat="1" applyFont="1" applyFill="1" applyBorder="1" applyAlignment="1"/>
    <xf numFmtId="0" fontId="18" fillId="33" borderId="14" xfId="0" applyFont="1" applyFill="1" applyBorder="1" applyAlignment="1"/>
    <xf numFmtId="187" fontId="16" fillId="33" borderId="13" xfId="0" applyNumberFormat="1" applyFont="1" applyFill="1" applyBorder="1" applyAlignment="1"/>
    <xf numFmtId="188" fontId="16" fillId="32" borderId="15" xfId="0" applyNumberFormat="1" applyFont="1" applyFill="1" applyBorder="1" applyAlignment="1"/>
    <xf numFmtId="189" fontId="16" fillId="32" borderId="15" xfId="0" applyNumberFormat="1" applyFont="1" applyFill="1" applyBorder="1" applyAlignment="1"/>
    <xf numFmtId="0" fontId="16" fillId="32" borderId="15" xfId="0" applyFont="1" applyFill="1" applyBorder="1" applyAlignment="1"/>
    <xf numFmtId="187" fontId="16" fillId="32" borderId="14" xfId="0" applyNumberFormat="1" applyFont="1" applyFill="1" applyBorder="1" applyAlignment="1"/>
    <xf numFmtId="0" fontId="16" fillId="32" borderId="14" xfId="0" applyFont="1" applyFill="1" applyBorder="1" applyAlignment="1"/>
    <xf numFmtId="187" fontId="18" fillId="32" borderId="13" xfId="0" applyNumberFormat="1" applyFont="1" applyFill="1" applyBorder="1" applyAlignment="1"/>
    <xf numFmtId="188" fontId="16" fillId="31" borderId="7" xfId="0" applyNumberFormat="1" applyFont="1" applyFill="1" applyBorder="1" applyAlignment="1"/>
    <xf numFmtId="188" fontId="16" fillId="31" borderId="6" xfId="0" applyNumberFormat="1" applyFont="1" applyFill="1" applyBorder="1" applyAlignment="1"/>
    <xf numFmtId="189" fontId="16" fillId="31" borderId="6" xfId="0" applyNumberFormat="1" applyFont="1" applyFill="1" applyBorder="1" applyAlignment="1"/>
    <xf numFmtId="0" fontId="16" fillId="31" borderId="6" xfId="0" applyFont="1" applyFill="1" applyBorder="1" applyAlignment="1"/>
    <xf numFmtId="187" fontId="16" fillId="31" borderId="6" xfId="0" applyNumberFormat="1" applyFont="1" applyFill="1" applyBorder="1" applyAlignment="1"/>
    <xf numFmtId="187" fontId="18" fillId="31" borderId="5" xfId="0" applyNumberFormat="1" applyFont="1" applyFill="1" applyBorder="1" applyAlignment="1"/>
    <xf numFmtId="191" fontId="5" fillId="2" borderId="20" xfId="0" applyNumberFormat="1" applyFont="1" applyFill="1" applyBorder="1" applyAlignment="1">
      <alignment horizontal="right"/>
    </xf>
    <xf numFmtId="191" fontId="5" fillId="2" borderId="15" xfId="0" applyNumberFormat="1" applyFont="1" applyFill="1" applyBorder="1" applyAlignment="1">
      <alignment horizontal="right"/>
    </xf>
    <xf numFmtId="0" fontId="4" fillId="21" borderId="14" xfId="0" quotePrefix="1" applyFont="1" applyFill="1" applyBorder="1" applyAlignment="1"/>
    <xf numFmtId="0" fontId="4" fillId="23" borderId="14" xfId="0" applyFont="1" applyFill="1" applyBorder="1" applyAlignment="1"/>
    <xf numFmtId="0" fontId="6" fillId="2" borderId="14" xfId="0" applyFont="1" applyFill="1" applyBorder="1" applyAlignment="1"/>
    <xf numFmtId="0" fontId="4" fillId="2" borderId="14" xfId="0" applyFont="1" applyFill="1" applyBorder="1" applyAlignment="1"/>
    <xf numFmtId="188" fontId="30" fillId="23" borderId="15" xfId="0" applyNumberFormat="1" applyFont="1" applyFill="1" applyBorder="1" applyAlignment="1"/>
    <xf numFmtId="0" fontId="31" fillId="23" borderId="14" xfId="0" applyFont="1" applyFill="1" applyBorder="1" applyAlignment="1"/>
    <xf numFmtId="188" fontId="30" fillId="23" borderId="18" xfId="0" applyNumberFormat="1" applyFont="1" applyFill="1" applyBorder="1" applyAlignment="1"/>
    <xf numFmtId="189" fontId="5" fillId="34" borderId="15" xfId="0" applyNumberFormat="1" applyFont="1" applyFill="1" applyBorder="1" applyAlignment="1">
      <alignment horizontal="right"/>
    </xf>
    <xf numFmtId="0" fontId="17" fillId="2" borderId="15" xfId="0" applyFont="1" applyFill="1" applyBorder="1" applyAlignment="1">
      <alignment horizontal="center"/>
    </xf>
    <xf numFmtId="188" fontId="28" fillId="25" borderId="7" xfId="0" applyNumberFormat="1" applyFont="1" applyFill="1" applyBorder="1" applyAlignment="1"/>
    <xf numFmtId="188" fontId="16" fillId="0" borderId="20" xfId="0" applyNumberFormat="1" applyFont="1" applyBorder="1" applyAlignment="1"/>
    <xf numFmtId="188" fontId="17" fillId="0" borderId="20" xfId="0" applyNumberFormat="1" applyFont="1" applyBorder="1" applyAlignment="1">
      <alignment horizontal="right"/>
    </xf>
    <xf numFmtId="189" fontId="17" fillId="2" borderId="20" xfId="0" applyNumberFormat="1" applyFont="1" applyFill="1" applyBorder="1" applyAlignment="1">
      <alignment horizontal="right"/>
    </xf>
    <xf numFmtId="0" fontId="17" fillId="2" borderId="20" xfId="0" applyFont="1" applyFill="1" applyBorder="1" applyAlignment="1">
      <alignment horizontal="center"/>
    </xf>
    <xf numFmtId="0" fontId="16" fillId="0" borderId="20" xfId="0" applyFont="1" applyBorder="1" applyAlignment="1"/>
    <xf numFmtId="0" fontId="16" fillId="0" borderId="0" xfId="0" applyFont="1" applyAlignment="1"/>
    <xf numFmtId="0" fontId="17" fillId="0" borderId="0" xfId="0" quotePrefix="1" applyFont="1" applyAlignment="1"/>
    <xf numFmtId="187" fontId="16" fillId="0" borderId="0" xfId="0" applyNumberFormat="1" applyFont="1" applyAlignment="1"/>
    <xf numFmtId="187" fontId="16" fillId="0" borderId="19" xfId="0" applyNumberFormat="1" applyFont="1" applyBorder="1" applyAlignment="1"/>
    <xf numFmtId="188" fontId="16" fillId="21" borderId="15" xfId="0" applyNumberFormat="1" applyFont="1" applyFill="1" applyBorder="1" applyAlignment="1"/>
    <xf numFmtId="188" fontId="18" fillId="21" borderId="15" xfId="0" applyNumberFormat="1" applyFont="1" applyFill="1" applyBorder="1" applyAlignment="1">
      <alignment horizontal="right"/>
    </xf>
    <xf numFmtId="189" fontId="18" fillId="21" borderId="15" xfId="0" applyNumberFormat="1" applyFont="1" applyFill="1" applyBorder="1" applyAlignment="1">
      <alignment horizontal="right"/>
    </xf>
    <xf numFmtId="0" fontId="18" fillId="21" borderId="15" xfId="0" applyFont="1" applyFill="1" applyBorder="1" applyAlignment="1">
      <alignment horizontal="center" wrapText="1"/>
    </xf>
    <xf numFmtId="187" fontId="16" fillId="21" borderId="14" xfId="0" applyNumberFormat="1" applyFont="1" applyFill="1" applyBorder="1" applyAlignment="1"/>
    <xf numFmtId="0" fontId="18" fillId="21" borderId="14" xfId="0" applyFont="1" applyFill="1" applyBorder="1" applyAlignment="1"/>
    <xf numFmtId="187" fontId="16" fillId="21" borderId="13" xfId="0" applyNumberFormat="1" applyFont="1" applyFill="1" applyBorder="1" applyAlignment="1"/>
    <xf numFmtId="188" fontId="16" fillId="22" borderId="15" xfId="0" applyNumberFormat="1" applyFont="1" applyFill="1" applyBorder="1" applyAlignment="1"/>
    <xf numFmtId="189" fontId="16" fillId="22" borderId="15" xfId="0" applyNumberFormat="1" applyFont="1" applyFill="1" applyBorder="1" applyAlignment="1"/>
    <xf numFmtId="0" fontId="16" fillId="22" borderId="15" xfId="0" applyFont="1" applyFill="1" applyBorder="1" applyAlignment="1"/>
    <xf numFmtId="0" fontId="16" fillId="22" borderId="14" xfId="0" applyFont="1" applyFill="1" applyBorder="1" applyAlignment="1"/>
    <xf numFmtId="187" fontId="16" fillId="22" borderId="14" xfId="0" applyNumberFormat="1" applyFont="1" applyFill="1" applyBorder="1" applyAlignment="1"/>
    <xf numFmtId="187" fontId="18" fillId="22" borderId="13" xfId="0" applyNumberFormat="1" applyFont="1" applyFill="1" applyBorder="1" applyAlignment="1"/>
    <xf numFmtId="0" fontId="17" fillId="0" borderId="15" xfId="0" applyFont="1" applyBorder="1" applyAlignment="1">
      <alignment horizontal="center"/>
    </xf>
    <xf numFmtId="0" fontId="16" fillId="0" borderId="14" xfId="0" applyFont="1" applyBorder="1" applyAlignment="1"/>
    <xf numFmtId="0" fontId="17" fillId="0" borderId="14" xfId="0" quotePrefix="1" applyFont="1" applyBorder="1" applyAlignment="1"/>
    <xf numFmtId="187" fontId="17" fillId="0" borderId="14" xfId="0" quotePrefix="1" applyNumberFormat="1" applyFont="1" applyBorder="1" applyAlignment="1"/>
    <xf numFmtId="187" fontId="18" fillId="2" borderId="14" xfId="0" applyNumberFormat="1" applyFont="1" applyFill="1" applyBorder="1" applyAlignment="1"/>
    <xf numFmtId="188" fontId="17" fillId="34" borderId="15" xfId="0" applyNumberFormat="1" applyFont="1" applyFill="1" applyBorder="1" applyAlignment="1">
      <alignment horizontal="right"/>
    </xf>
    <xf numFmtId="187" fontId="18" fillId="0" borderId="15" xfId="0" applyNumberFormat="1" applyFont="1" applyBorder="1" applyAlignment="1">
      <alignment horizontal="center" wrapText="1"/>
    </xf>
    <xf numFmtId="0" fontId="24" fillId="2" borderId="14" xfId="0" quotePrefix="1" applyFont="1" applyFill="1" applyBorder="1" applyAlignment="1"/>
    <xf numFmtId="188" fontId="16" fillId="23" borderId="15" xfId="0" applyNumberFormat="1" applyFont="1" applyFill="1" applyBorder="1" applyAlignment="1"/>
    <xf numFmtId="188" fontId="18" fillId="23" borderId="15" xfId="0" applyNumberFormat="1" applyFont="1" applyFill="1" applyBorder="1" applyAlignment="1">
      <alignment horizontal="right"/>
    </xf>
    <xf numFmtId="189" fontId="18" fillId="23" borderId="15" xfId="0" applyNumberFormat="1" applyFont="1" applyFill="1" applyBorder="1" applyAlignment="1">
      <alignment horizontal="right"/>
    </xf>
    <xf numFmtId="0" fontId="18" fillId="23" borderId="15" xfId="0" applyFont="1" applyFill="1" applyBorder="1" applyAlignment="1">
      <alignment horizontal="center" wrapText="1"/>
    </xf>
    <xf numFmtId="0" fontId="16" fillId="23" borderId="15" xfId="0" applyFont="1" applyFill="1" applyBorder="1" applyAlignment="1"/>
    <xf numFmtId="0" fontId="16" fillId="23" borderId="14" xfId="0" applyFont="1" applyFill="1" applyBorder="1" applyAlignment="1"/>
    <xf numFmtId="0" fontId="18" fillId="23" borderId="14" xfId="0" applyFont="1" applyFill="1" applyBorder="1" applyAlignment="1"/>
    <xf numFmtId="187" fontId="16" fillId="23" borderId="14" xfId="0" applyNumberFormat="1" applyFont="1" applyFill="1" applyBorder="1" applyAlignment="1"/>
    <xf numFmtId="187" fontId="16" fillId="23" borderId="13" xfId="0" applyNumberFormat="1" applyFont="1" applyFill="1" applyBorder="1" applyAlignment="1"/>
    <xf numFmtId="188" fontId="5" fillId="34" borderId="15" xfId="0" applyNumberFormat="1" applyFont="1" applyFill="1" applyBorder="1" applyAlignment="1">
      <alignment horizontal="right"/>
    </xf>
    <xf numFmtId="0" fontId="4" fillId="2" borderId="14" xfId="0" quotePrefix="1" applyFont="1" applyFill="1" applyBorder="1" applyAlignment="1"/>
    <xf numFmtId="188" fontId="1" fillId="34" borderId="15" xfId="0" applyNumberFormat="1" applyFont="1" applyFill="1" applyBorder="1" applyAlignment="1">
      <alignment horizontal="right"/>
    </xf>
    <xf numFmtId="187" fontId="17" fillId="2" borderId="14" xfId="0" applyNumberFormat="1" applyFont="1" applyFill="1" applyBorder="1" applyAlignment="1"/>
    <xf numFmtId="188" fontId="16" fillId="2" borderId="20" xfId="0" applyNumberFormat="1" applyFont="1" applyFill="1" applyBorder="1" applyAlignment="1"/>
    <xf numFmtId="188" fontId="17" fillId="2" borderId="20" xfId="0" applyNumberFormat="1" applyFont="1" applyFill="1" applyBorder="1" applyAlignment="1">
      <alignment horizontal="right"/>
    </xf>
    <xf numFmtId="189" fontId="17" fillId="34" borderId="20" xfId="0" applyNumberFormat="1" applyFont="1" applyFill="1" applyBorder="1" applyAlignment="1">
      <alignment horizontal="right"/>
    </xf>
    <xf numFmtId="187" fontId="17" fillId="0" borderId="20" xfId="0" applyNumberFormat="1" applyFont="1" applyBorder="1" applyAlignment="1">
      <alignment horizontal="center"/>
    </xf>
    <xf numFmtId="0" fontId="16" fillId="2" borderId="20" xfId="0" applyFont="1" applyFill="1" applyBorder="1" applyAlignment="1"/>
    <xf numFmtId="0" fontId="16" fillId="2" borderId="0" xfId="0" applyFont="1" applyFill="1" applyAlignment="1"/>
    <xf numFmtId="0" fontId="17" fillId="2" borderId="0" xfId="0" applyFont="1" applyFill="1" applyAlignment="1"/>
    <xf numFmtId="190" fontId="16" fillId="2" borderId="19" xfId="0" applyNumberFormat="1" applyFont="1" applyFill="1" applyBorder="1" applyAlignment="1"/>
    <xf numFmtId="189" fontId="5" fillId="34" borderId="24" xfId="0" applyNumberFormat="1" applyFont="1" applyFill="1" applyBorder="1" applyAlignment="1">
      <alignment horizontal="right"/>
    </xf>
    <xf numFmtId="189" fontId="5" fillId="34" borderId="18" xfId="0" applyNumberFormat="1" applyFont="1" applyFill="1" applyBorder="1" applyAlignment="1">
      <alignment horizontal="right"/>
    </xf>
    <xf numFmtId="0" fontId="16" fillId="2" borderId="13" xfId="0" applyFont="1" applyFill="1" applyBorder="1" applyAlignment="1"/>
    <xf numFmtId="188" fontId="17" fillId="18" borderId="15" xfId="0" applyNumberFormat="1" applyFont="1" applyFill="1" applyBorder="1" applyAlignment="1">
      <alignment horizontal="right"/>
    </xf>
    <xf numFmtId="188" fontId="16" fillId="18" borderId="15" xfId="0" applyNumberFormat="1" applyFont="1" applyFill="1" applyBorder="1" applyAlignment="1"/>
    <xf numFmtId="189" fontId="16" fillId="18" borderId="15" xfId="0" applyNumberFormat="1" applyFont="1" applyFill="1" applyBorder="1" applyAlignment="1"/>
    <xf numFmtId="0" fontId="17" fillId="18" borderId="15" xfId="0" applyFont="1" applyFill="1" applyBorder="1" applyAlignment="1">
      <alignment horizontal="center"/>
    </xf>
    <xf numFmtId="0" fontId="16" fillId="18" borderId="15" xfId="0" applyFont="1" applyFill="1" applyBorder="1" applyAlignment="1"/>
    <xf numFmtId="0" fontId="16" fillId="18" borderId="14" xfId="0" applyFont="1" applyFill="1" applyBorder="1" applyAlignment="1"/>
    <xf numFmtId="0" fontId="17" fillId="18" borderId="14" xfId="0" applyFont="1" applyFill="1" applyBorder="1" applyAlignment="1"/>
    <xf numFmtId="0" fontId="16" fillId="18" borderId="13" xfId="0" applyFont="1" applyFill="1" applyBorder="1" applyAlignment="1"/>
    <xf numFmtId="0" fontId="4" fillId="18" borderId="14" xfId="0" applyFont="1" applyFill="1" applyBorder="1" applyAlignment="1"/>
    <xf numFmtId="188" fontId="23" fillId="2" borderId="10" xfId="0" applyNumberFormat="1" applyFont="1" applyFill="1" applyBorder="1" applyAlignment="1">
      <alignment horizontal="right"/>
    </xf>
    <xf numFmtId="188" fontId="30" fillId="2" borderId="10" xfId="0" applyNumberFormat="1" applyFont="1" applyFill="1" applyBorder="1" applyAlignment="1"/>
    <xf numFmtId="189" fontId="30" fillId="2" borderId="10" xfId="0" applyNumberFormat="1" applyFont="1" applyFill="1" applyBorder="1" applyAlignment="1"/>
    <xf numFmtId="0" fontId="23" fillId="2" borderId="10" xfId="0" applyFont="1" applyFill="1" applyBorder="1" applyAlignment="1">
      <alignment horizontal="center"/>
    </xf>
    <xf numFmtId="0" fontId="30" fillId="2" borderId="10" xfId="0" applyFont="1" applyFill="1" applyBorder="1" applyAlignment="1"/>
    <xf numFmtId="0" fontId="30" fillId="2" borderId="9" xfId="0" applyFont="1" applyFill="1" applyBorder="1" applyAlignment="1"/>
    <xf numFmtId="0" fontId="23" fillId="2" borderId="9" xfId="0" applyFont="1" applyFill="1" applyBorder="1" applyAlignment="1"/>
    <xf numFmtId="0" fontId="30" fillId="2" borderId="8" xfId="0" applyFont="1" applyFill="1" applyBorder="1" applyAlignment="1"/>
    <xf numFmtId="0" fontId="30" fillId="2" borderId="13" xfId="0" applyFont="1" applyFill="1" applyBorder="1" applyAlignment="1"/>
    <xf numFmtId="188" fontId="23" fillId="2" borderId="18" xfId="0" applyNumberFormat="1" applyFont="1" applyFill="1" applyBorder="1" applyAlignment="1">
      <alignment horizontal="right"/>
    </xf>
    <xf numFmtId="188" fontId="30" fillId="2" borderId="18" xfId="0" applyNumberFormat="1" applyFont="1" applyFill="1" applyBorder="1" applyAlignment="1"/>
    <xf numFmtId="189" fontId="30" fillId="2" borderId="18" xfId="0" applyNumberFormat="1" applyFont="1" applyFill="1" applyBorder="1" applyAlignment="1"/>
    <xf numFmtId="0" fontId="23" fillId="2" borderId="18" xfId="0" applyFont="1" applyFill="1" applyBorder="1" applyAlignment="1">
      <alignment horizontal="center"/>
    </xf>
    <xf numFmtId="0" fontId="30" fillId="2" borderId="18" xfId="0" applyFont="1" applyFill="1" applyBorder="1" applyAlignment="1"/>
    <xf numFmtId="0" fontId="30" fillId="2" borderId="17" xfId="0" applyFont="1" applyFill="1" applyBorder="1" applyAlignment="1"/>
    <xf numFmtId="0" fontId="41" fillId="2" borderId="17" xfId="0" applyFont="1" applyFill="1" applyBorder="1" applyAlignment="1"/>
    <xf numFmtId="0" fontId="30" fillId="2" borderId="16" xfId="0" applyFont="1" applyFill="1" applyBorder="1" applyAlignment="1"/>
    <xf numFmtId="188" fontId="17" fillId="14" borderId="15" xfId="0" applyNumberFormat="1" applyFont="1" applyFill="1" applyBorder="1" applyAlignment="1">
      <alignment horizontal="right"/>
    </xf>
    <xf numFmtId="188" fontId="16" fillId="14" borderId="15" xfId="0" applyNumberFormat="1" applyFont="1" applyFill="1" applyBorder="1" applyAlignment="1"/>
    <xf numFmtId="189" fontId="16" fillId="14" borderId="15" xfId="0" applyNumberFormat="1" applyFont="1" applyFill="1" applyBorder="1" applyAlignment="1"/>
    <xf numFmtId="0" fontId="17" fillId="14" borderId="15" xfId="0" applyFont="1" applyFill="1" applyBorder="1" applyAlignment="1">
      <alignment horizontal="center"/>
    </xf>
    <xf numFmtId="0" fontId="16" fillId="14" borderId="15" xfId="0" applyFont="1" applyFill="1" applyBorder="1" applyAlignment="1"/>
    <xf numFmtId="0" fontId="16" fillId="14" borderId="14" xfId="0" applyFont="1" applyFill="1" applyBorder="1" applyAlignment="1"/>
    <xf numFmtId="0" fontId="17" fillId="14" borderId="14" xfId="0" applyFont="1" applyFill="1" applyBorder="1" applyAlignment="1"/>
    <xf numFmtId="0" fontId="16" fillId="14" borderId="13" xfId="0" applyFont="1" applyFill="1" applyBorder="1" applyAlignment="1"/>
    <xf numFmtId="0" fontId="4" fillId="14" borderId="14" xfId="0" applyFont="1" applyFill="1" applyBorder="1" applyAlignment="1"/>
    <xf numFmtId="188" fontId="17" fillId="8" borderId="10" xfId="0" applyNumberFormat="1" applyFont="1" applyFill="1" applyBorder="1" applyAlignment="1">
      <alignment horizontal="right"/>
    </xf>
    <xf numFmtId="188" fontId="16" fillId="8" borderId="10" xfId="0" applyNumberFormat="1" applyFont="1" applyFill="1" applyBorder="1" applyAlignment="1"/>
    <xf numFmtId="189" fontId="16" fillId="8" borderId="10" xfId="0" applyNumberFormat="1" applyFont="1" applyFill="1" applyBorder="1" applyAlignment="1"/>
    <xf numFmtId="0" fontId="17" fillId="8" borderId="10" xfId="0" applyFont="1" applyFill="1" applyBorder="1" applyAlignment="1">
      <alignment horizontal="center"/>
    </xf>
    <xf numFmtId="0" fontId="16" fillId="8" borderId="10" xfId="0" applyFont="1" applyFill="1" applyBorder="1" applyAlignment="1"/>
    <xf numFmtId="0" fontId="16" fillId="8" borderId="9" xfId="0" applyFont="1" applyFill="1" applyBorder="1" applyAlignment="1"/>
    <xf numFmtId="0" fontId="17" fillId="8" borderId="9" xfId="0" applyFont="1" applyFill="1" applyBorder="1" applyAlignment="1"/>
    <xf numFmtId="0" fontId="16" fillId="8" borderId="8" xfId="0" applyFont="1" applyFill="1" applyBorder="1" applyAlignment="1"/>
    <xf numFmtId="0" fontId="16" fillId="8" borderId="13" xfId="0" applyFont="1" applyFill="1" applyBorder="1" applyAlignment="1"/>
    <xf numFmtId="0" fontId="40" fillId="8" borderId="14" xfId="0" applyFont="1" applyFill="1" applyBorder="1" applyAlignment="1"/>
    <xf numFmtId="0" fontId="24" fillId="8" borderId="14" xfId="0" applyFont="1" applyFill="1" applyBorder="1" applyAlignment="1"/>
    <xf numFmtId="188" fontId="17" fillId="10" borderId="15" xfId="0" applyNumberFormat="1" applyFont="1" applyFill="1" applyBorder="1" applyAlignment="1">
      <alignment horizontal="right"/>
    </xf>
    <xf numFmtId="188" fontId="16" fillId="10" borderId="15" xfId="0" applyNumberFormat="1" applyFont="1" applyFill="1" applyBorder="1" applyAlignment="1"/>
    <xf numFmtId="189" fontId="16" fillId="10" borderId="15" xfId="0" applyNumberFormat="1" applyFont="1" applyFill="1" applyBorder="1" applyAlignment="1"/>
    <xf numFmtId="0" fontId="17" fillId="10" borderId="15" xfId="0" applyFont="1" applyFill="1" applyBorder="1" applyAlignment="1">
      <alignment horizontal="center"/>
    </xf>
    <xf numFmtId="0" fontId="16" fillId="10" borderId="15" xfId="0" applyFont="1" applyFill="1" applyBorder="1" applyAlignment="1"/>
    <xf numFmtId="0" fontId="16" fillId="10" borderId="14" xfId="0" applyFont="1" applyFill="1" applyBorder="1" applyAlignment="1"/>
    <xf numFmtId="0" fontId="17" fillId="10" borderId="14" xfId="0" applyFont="1" applyFill="1" applyBorder="1" applyAlignment="1"/>
    <xf numFmtId="0" fontId="16" fillId="10" borderId="13" xfId="0" applyFont="1" applyFill="1" applyBorder="1" applyAlignment="1"/>
    <xf numFmtId="0" fontId="4" fillId="10" borderId="14" xfId="0" applyFont="1" applyFill="1" applyBorder="1" applyAlignment="1"/>
    <xf numFmtId="188" fontId="16" fillId="8" borderId="12" xfId="0" applyNumberFormat="1" applyFont="1" applyFill="1" applyBorder="1" applyAlignment="1"/>
    <xf numFmtId="189" fontId="16" fillId="8" borderId="12" xfId="0" applyNumberFormat="1" applyFont="1" applyFill="1" applyBorder="1" applyAlignment="1"/>
    <xf numFmtId="0" fontId="16" fillId="8" borderId="12" xfId="0" applyFont="1" applyFill="1" applyBorder="1" applyAlignment="1"/>
    <xf numFmtId="0" fontId="30" fillId="0" borderId="0" xfId="0" applyFont="1" applyAlignment="1"/>
    <xf numFmtId="0" fontId="32" fillId="0" borderId="0" xfId="0" applyFont="1" applyAlignment="1"/>
    <xf numFmtId="187" fontId="30" fillId="0" borderId="9" xfId="0" applyNumberFormat="1" applyFont="1" applyBorder="1" applyAlignment="1"/>
    <xf numFmtId="187" fontId="30" fillId="2" borderId="9" xfId="0" applyNumberFormat="1" applyFont="1" applyFill="1" applyBorder="1" applyAlignment="1"/>
    <xf numFmtId="187" fontId="30" fillId="2" borderId="8" xfId="0" applyNumberFormat="1" applyFont="1" applyFill="1" applyBorder="1" applyAlignment="1"/>
    <xf numFmtId="188" fontId="30" fillId="0" borderId="15" xfId="0" applyNumberFormat="1" applyFont="1" applyBorder="1" applyAlignment="1"/>
    <xf numFmtId="189" fontId="30" fillId="0" borderId="15" xfId="0" applyNumberFormat="1" applyFont="1" applyBorder="1" applyAlignment="1"/>
    <xf numFmtId="0" fontId="30" fillId="0" borderId="15" xfId="0" applyFont="1" applyBorder="1" applyAlignment="1"/>
    <xf numFmtId="0" fontId="30" fillId="21" borderId="15" xfId="0" applyFont="1" applyFill="1" applyBorder="1" applyAlignment="1"/>
    <xf numFmtId="0" fontId="30" fillId="21" borderId="14" xfId="0" applyFont="1" applyFill="1" applyBorder="1" applyAlignment="1"/>
    <xf numFmtId="187" fontId="30" fillId="0" borderId="13" xfId="0" applyNumberFormat="1" applyFont="1" applyBorder="1" applyAlignment="1"/>
    <xf numFmtId="190" fontId="30" fillId="2" borderId="13" xfId="0" applyNumberFormat="1" applyFont="1" applyFill="1" applyBorder="1" applyAlignment="1"/>
    <xf numFmtId="188" fontId="30" fillId="33" borderId="15" xfId="0" applyNumberFormat="1" applyFont="1" applyFill="1" applyBorder="1" applyAlignment="1"/>
    <xf numFmtId="187" fontId="18" fillId="33" borderId="15" xfId="0" applyNumberFormat="1" applyFont="1" applyFill="1" applyBorder="1" applyAlignment="1">
      <alignment horizontal="center" wrapText="1"/>
    </xf>
    <xf numFmtId="0" fontId="30" fillId="33" borderId="15" xfId="0" applyFont="1" applyFill="1" applyBorder="1" applyAlignment="1"/>
    <xf numFmtId="0" fontId="30" fillId="33" borderId="14" xfId="0" applyFont="1" applyFill="1" applyBorder="1" applyAlignment="1"/>
    <xf numFmtId="187" fontId="30" fillId="33" borderId="14" xfId="0" applyNumberFormat="1" applyFont="1" applyFill="1" applyBorder="1" applyAlignment="1"/>
    <xf numFmtId="187" fontId="30" fillId="33" borderId="13" xfId="0" applyNumberFormat="1" applyFont="1" applyFill="1" applyBorder="1" applyAlignment="1"/>
    <xf numFmtId="188" fontId="30" fillId="32" borderId="15" xfId="0" applyNumberFormat="1" applyFont="1" applyFill="1" applyBorder="1" applyAlignment="1"/>
    <xf numFmtId="189" fontId="30" fillId="32" borderId="15" xfId="0" applyNumberFormat="1" applyFont="1" applyFill="1" applyBorder="1" applyAlignment="1"/>
    <xf numFmtId="187" fontId="30" fillId="32" borderId="15" xfId="0" applyNumberFormat="1" applyFont="1" applyFill="1" applyBorder="1" applyAlignment="1"/>
    <xf numFmtId="187" fontId="30" fillId="32" borderId="14" xfId="0" applyNumberFormat="1" applyFont="1" applyFill="1" applyBorder="1" applyAlignment="1"/>
    <xf numFmtId="0" fontId="30" fillId="32" borderId="14" xfId="0" applyFont="1" applyFill="1" applyBorder="1" applyAlignment="1"/>
    <xf numFmtId="188" fontId="30" fillId="31" borderId="10" xfId="0" applyNumberFormat="1" applyFont="1" applyFill="1" applyBorder="1" applyAlignment="1"/>
    <xf numFmtId="188" fontId="30" fillId="31" borderId="9" xfId="0" applyNumberFormat="1" applyFont="1" applyFill="1" applyBorder="1" applyAlignment="1"/>
    <xf numFmtId="189" fontId="30" fillId="31" borderId="9" xfId="0" applyNumberFormat="1" applyFont="1" applyFill="1" applyBorder="1" applyAlignment="1"/>
    <xf numFmtId="187" fontId="30" fillId="31" borderId="9" xfId="0" applyNumberFormat="1" applyFont="1" applyFill="1" applyBorder="1" applyAlignment="1"/>
    <xf numFmtId="0" fontId="30" fillId="31" borderId="9" xfId="0" applyFont="1" applyFill="1" applyBorder="1" applyAlignment="1"/>
    <xf numFmtId="187" fontId="18" fillId="31" borderId="8" xfId="0" applyNumberFormat="1" applyFont="1" applyFill="1" applyBorder="1" applyAlignment="1"/>
    <xf numFmtId="187" fontId="30" fillId="2" borderId="10" xfId="0" applyNumberFormat="1" applyFont="1" applyFill="1" applyBorder="1" applyAlignment="1"/>
    <xf numFmtId="187" fontId="32" fillId="2" borderId="9" xfId="0" applyNumberFormat="1" applyFont="1" applyFill="1" applyBorder="1" applyAlignment="1"/>
    <xf numFmtId="191" fontId="23" fillId="2" borderId="15" xfId="0" applyNumberFormat="1" applyFont="1" applyFill="1" applyBorder="1" applyAlignment="1">
      <alignment horizontal="right"/>
    </xf>
    <xf numFmtId="187" fontId="23" fillId="0" borderId="15" xfId="0" applyNumberFormat="1" applyFont="1" applyBorder="1" applyAlignment="1">
      <alignment horizontal="center"/>
    </xf>
    <xf numFmtId="0" fontId="23" fillId="0" borderId="14" xfId="0" quotePrefix="1" applyFont="1" applyBorder="1" applyAlignment="1"/>
    <xf numFmtId="0" fontId="23" fillId="0" borderId="15" xfId="0" applyFont="1" applyBorder="1" applyAlignment="1">
      <alignment horizontal="center" wrapText="1"/>
    </xf>
    <xf numFmtId="187" fontId="30" fillId="0" borderId="15" xfId="0" applyNumberFormat="1" applyFont="1" applyBorder="1" applyAlignment="1"/>
    <xf numFmtId="187" fontId="23" fillId="0" borderId="14" xfId="0" quotePrefix="1" applyNumberFormat="1" applyFont="1" applyBorder="1" applyAlignment="1"/>
    <xf numFmtId="187" fontId="31" fillId="21" borderId="14" xfId="0" quotePrefix="1" applyNumberFormat="1" applyFont="1" applyFill="1" applyBorder="1" applyAlignment="1"/>
    <xf numFmtId="187" fontId="29" fillId="2" borderId="14" xfId="0" applyNumberFormat="1" applyFont="1" applyFill="1" applyBorder="1" applyAlignment="1"/>
    <xf numFmtId="0" fontId="29" fillId="23" borderId="15" xfId="0" applyFont="1" applyFill="1" applyBorder="1" applyAlignment="1">
      <alignment horizontal="center"/>
    </xf>
    <xf numFmtId="0" fontId="41" fillId="2" borderId="14" xfId="0" applyFont="1" applyFill="1" applyBorder="1" applyAlignment="1"/>
    <xf numFmtId="187" fontId="23" fillId="0" borderId="15" xfId="0" applyNumberFormat="1" applyFont="1" applyBorder="1" applyAlignment="1">
      <alignment horizontal="center" wrapText="1"/>
    </xf>
    <xf numFmtId="188" fontId="29" fillId="2" borderId="15" xfId="0" applyNumberFormat="1" applyFont="1" applyFill="1" applyBorder="1" applyAlignment="1">
      <alignment horizontal="right"/>
    </xf>
    <xf numFmtId="187" fontId="29" fillId="2" borderId="15" xfId="0" applyNumberFormat="1" applyFont="1" applyFill="1" applyBorder="1" applyAlignment="1">
      <alignment horizontal="center"/>
    </xf>
    <xf numFmtId="0" fontId="31" fillId="2" borderId="14" xfId="0" applyFont="1" applyFill="1" applyBorder="1" applyAlignment="1"/>
    <xf numFmtId="0" fontId="29" fillId="2" borderId="14" xfId="0" applyFont="1" applyFill="1" applyBorder="1" applyAlignment="1"/>
    <xf numFmtId="188" fontId="30" fillId="30" borderId="15" xfId="0" applyNumberFormat="1" applyFont="1" applyFill="1" applyBorder="1" applyAlignment="1"/>
    <xf numFmtId="189" fontId="30" fillId="30" borderId="15" xfId="0" applyNumberFormat="1" applyFont="1" applyFill="1" applyBorder="1" applyAlignment="1"/>
    <xf numFmtId="187" fontId="30" fillId="30" borderId="15" xfId="0" applyNumberFormat="1" applyFont="1" applyFill="1" applyBorder="1" applyAlignment="1"/>
    <xf numFmtId="0" fontId="30" fillId="30" borderId="15" xfId="0" applyFont="1" applyFill="1" applyBorder="1" applyAlignment="1"/>
    <xf numFmtId="0" fontId="30" fillId="30" borderId="14" xfId="0" applyFont="1" applyFill="1" applyBorder="1" applyAlignment="1"/>
    <xf numFmtId="187" fontId="30" fillId="30" borderId="14" xfId="0" applyNumberFormat="1" applyFont="1" applyFill="1" applyBorder="1" applyAlignment="1"/>
    <xf numFmtId="0" fontId="29" fillId="30" borderId="14" xfId="0" applyFont="1" applyFill="1" applyBorder="1" applyAlignment="1"/>
    <xf numFmtId="187" fontId="30" fillId="30" borderId="13" xfId="0" applyNumberFormat="1" applyFont="1" applyFill="1" applyBorder="1" applyAlignment="1"/>
    <xf numFmtId="187" fontId="29" fillId="23" borderId="15" xfId="0" applyNumberFormat="1" applyFont="1" applyFill="1" applyBorder="1" applyAlignment="1">
      <alignment horizontal="center" wrapText="1"/>
    </xf>
    <xf numFmtId="0" fontId="29" fillId="21" borderId="14" xfId="0" applyFont="1" applyFill="1" applyBorder="1" applyAlignment="1"/>
    <xf numFmtId="187" fontId="23" fillId="2" borderId="14" xfId="0" applyNumberFormat="1" applyFont="1" applyFill="1" applyBorder="1" applyAlignment="1"/>
    <xf numFmtId="187" fontId="29" fillId="30" borderId="15" xfId="0" applyNumberFormat="1" applyFont="1" applyFill="1" applyBorder="1" applyAlignment="1">
      <alignment horizontal="center" wrapText="1"/>
    </xf>
    <xf numFmtId="188" fontId="30" fillId="29" borderId="15" xfId="0" applyNumberFormat="1" applyFont="1" applyFill="1" applyBorder="1" applyAlignment="1"/>
    <xf numFmtId="189" fontId="30" fillId="29" borderId="15" xfId="0" applyNumberFormat="1" applyFont="1" applyFill="1" applyBorder="1" applyAlignment="1"/>
    <xf numFmtId="187" fontId="30" fillId="29" borderId="14" xfId="0" applyNumberFormat="1" applyFont="1" applyFill="1" applyBorder="1" applyAlignment="1"/>
    <xf numFmtId="0" fontId="30" fillId="29" borderId="14" xfId="0" applyFont="1" applyFill="1" applyBorder="1" applyAlignment="1"/>
    <xf numFmtId="187" fontId="29" fillId="29" borderId="13" xfId="0" applyNumberFormat="1" applyFont="1" applyFill="1" applyBorder="1" applyAlignment="1"/>
    <xf numFmtId="189" fontId="23" fillId="34" borderId="15" xfId="0" applyNumberFormat="1" applyFont="1" applyFill="1" applyBorder="1" applyAlignment="1">
      <alignment horizontal="right"/>
    </xf>
    <xf numFmtId="0" fontId="31" fillId="21" borderId="14" xfId="0" quotePrefix="1" applyFont="1" applyFill="1" applyBorder="1" applyAlignment="1"/>
    <xf numFmtId="188" fontId="29" fillId="30" borderId="15" xfId="0" applyNumberFormat="1" applyFont="1" applyFill="1" applyBorder="1" applyAlignment="1">
      <alignment horizontal="right"/>
    </xf>
    <xf numFmtId="189" fontId="29" fillId="30" borderId="15" xfId="0" applyNumberFormat="1" applyFont="1" applyFill="1" applyBorder="1" applyAlignment="1">
      <alignment horizontal="right"/>
    </xf>
    <xf numFmtId="190" fontId="30" fillId="30" borderId="14" xfId="0" applyNumberFormat="1" applyFont="1" applyFill="1" applyBorder="1" applyAlignment="1"/>
    <xf numFmtId="190" fontId="30" fillId="30" borderId="13" xfId="0" applyNumberFormat="1" applyFont="1" applyFill="1" applyBorder="1" applyAlignment="1"/>
    <xf numFmtId="187" fontId="23" fillId="0" borderId="14" xfId="0" applyNumberFormat="1" applyFont="1" applyBorder="1" applyAlignment="1"/>
    <xf numFmtId="187" fontId="30" fillId="21" borderId="15" xfId="0" applyNumberFormat="1" applyFont="1" applyFill="1" applyBorder="1" applyAlignment="1"/>
    <xf numFmtId="187" fontId="30" fillId="21" borderId="14" xfId="0" applyNumberFormat="1" applyFont="1" applyFill="1" applyBorder="1" applyAlignment="1"/>
    <xf numFmtId="187" fontId="30" fillId="29" borderId="15" xfId="0" applyNumberFormat="1" applyFont="1" applyFill="1" applyBorder="1" applyAlignment="1"/>
    <xf numFmtId="0" fontId="30" fillId="29" borderId="15" xfId="0" applyFont="1" applyFill="1" applyBorder="1" applyAlignment="1"/>
    <xf numFmtId="188" fontId="30" fillId="28" borderId="10" xfId="0" applyNumberFormat="1" applyFont="1" applyFill="1" applyBorder="1" applyAlignment="1"/>
    <xf numFmtId="188" fontId="30" fillId="28" borderId="9" xfId="0" applyNumberFormat="1" applyFont="1" applyFill="1" applyBorder="1" applyAlignment="1"/>
    <xf numFmtId="189" fontId="30" fillId="28" borderId="9" xfId="0" applyNumberFormat="1" applyFont="1" applyFill="1" applyBorder="1" applyAlignment="1"/>
    <xf numFmtId="187" fontId="30" fillId="28" borderId="9" xfId="0" applyNumberFormat="1" applyFont="1" applyFill="1" applyBorder="1" applyAlignment="1"/>
    <xf numFmtId="0" fontId="30" fillId="28" borderId="9" xfId="0" applyFont="1" applyFill="1" applyBorder="1" applyAlignment="1"/>
    <xf numFmtId="187" fontId="29" fillId="28" borderId="8" xfId="0" applyNumberFormat="1" applyFont="1" applyFill="1" applyBorder="1" applyAlignment="1"/>
    <xf numFmtId="188" fontId="30" fillId="8" borderId="10" xfId="0" applyNumberFormat="1" applyFont="1" applyFill="1" applyBorder="1" applyAlignment="1"/>
    <xf numFmtId="189" fontId="30" fillId="8" borderId="10" xfId="0" applyNumberFormat="1" applyFont="1" applyFill="1" applyBorder="1" applyAlignment="1"/>
    <xf numFmtId="187" fontId="30" fillId="8" borderId="10" xfId="0" applyNumberFormat="1" applyFont="1" applyFill="1" applyBorder="1" applyAlignment="1"/>
    <xf numFmtId="0" fontId="30" fillId="8" borderId="10" xfId="0" applyFont="1" applyFill="1" applyBorder="1" applyAlignment="1"/>
    <xf numFmtId="0" fontId="30" fillId="8" borderId="9" xfId="0" applyFont="1" applyFill="1" applyBorder="1" applyAlignment="1"/>
    <xf numFmtId="187" fontId="30" fillId="8" borderId="9" xfId="0" applyNumberFormat="1" applyFont="1" applyFill="1" applyBorder="1" applyAlignment="1"/>
    <xf numFmtId="187" fontId="30" fillId="8" borderId="8" xfId="0" applyNumberFormat="1" applyFont="1" applyFill="1" applyBorder="1" applyAlignment="1"/>
    <xf numFmtId="188" fontId="30" fillId="8" borderId="15" xfId="0" applyNumberFormat="1" applyFont="1" applyFill="1" applyBorder="1" applyAlignment="1"/>
    <xf numFmtId="189" fontId="30" fillId="8" borderId="15" xfId="0" applyNumberFormat="1" applyFont="1" applyFill="1" applyBorder="1" applyAlignment="1"/>
    <xf numFmtId="187" fontId="30" fillId="8" borderId="15" xfId="0" applyNumberFormat="1" applyFont="1" applyFill="1" applyBorder="1" applyAlignment="1"/>
    <xf numFmtId="0" fontId="30" fillId="8" borderId="15" xfId="0" applyFont="1" applyFill="1" applyBorder="1" applyAlignment="1"/>
    <xf numFmtId="0" fontId="30" fillId="8" borderId="14" xfId="0" applyFont="1" applyFill="1" applyBorder="1" applyAlignment="1"/>
    <xf numFmtId="187" fontId="30" fillId="8" borderId="14" xfId="0" applyNumberFormat="1" applyFont="1" applyFill="1" applyBorder="1" applyAlignment="1"/>
    <xf numFmtId="187" fontId="30" fillId="8" borderId="13" xfId="0" applyNumberFormat="1" applyFont="1" applyFill="1" applyBorder="1" applyAlignment="1"/>
    <xf numFmtId="188" fontId="23" fillId="0" borderId="15" xfId="0" applyNumberFormat="1" applyFont="1" applyBorder="1" applyAlignment="1">
      <alignment horizontal="right"/>
    </xf>
    <xf numFmtId="189" fontId="23" fillId="0" borderId="15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0" fontId="29" fillId="0" borderId="14" xfId="0" applyFont="1" applyBorder="1" applyAlignment="1"/>
    <xf numFmtId="188" fontId="29" fillId="0" borderId="15" xfId="0" applyNumberFormat="1" applyFont="1" applyBorder="1" applyAlignment="1">
      <alignment horizontal="right"/>
    </xf>
    <xf numFmtId="189" fontId="29" fillId="2" borderId="15" xfId="0" applyNumberFormat="1" applyFont="1" applyFill="1" applyBorder="1" applyAlignment="1">
      <alignment horizontal="right"/>
    </xf>
    <xf numFmtId="0" fontId="29" fillId="0" borderId="15" xfId="0" applyFont="1" applyBorder="1" applyAlignment="1">
      <alignment horizontal="center" wrapText="1"/>
    </xf>
    <xf numFmtId="188" fontId="30" fillId="27" borderId="15" xfId="0" applyNumberFormat="1" applyFont="1" applyFill="1" applyBorder="1" applyAlignment="1"/>
    <xf numFmtId="188" fontId="29" fillId="27" borderId="15" xfId="0" applyNumberFormat="1" applyFont="1" applyFill="1" applyBorder="1" applyAlignment="1">
      <alignment horizontal="right"/>
    </xf>
    <xf numFmtId="189" fontId="29" fillId="27" borderId="15" xfId="0" applyNumberFormat="1" applyFont="1" applyFill="1" applyBorder="1" applyAlignment="1">
      <alignment horizontal="right"/>
    </xf>
    <xf numFmtId="187" fontId="29" fillId="27" borderId="15" xfId="0" applyNumberFormat="1" applyFont="1" applyFill="1" applyBorder="1" applyAlignment="1">
      <alignment horizontal="center" wrapText="1"/>
    </xf>
    <xf numFmtId="0" fontId="30" fillId="27" borderId="15" xfId="0" applyFont="1" applyFill="1" applyBorder="1" applyAlignment="1"/>
    <xf numFmtId="0" fontId="30" fillId="27" borderId="14" xfId="0" applyFont="1" applyFill="1" applyBorder="1" applyAlignment="1"/>
    <xf numFmtId="187" fontId="30" fillId="27" borderId="14" xfId="0" applyNumberFormat="1" applyFont="1" applyFill="1" applyBorder="1" applyAlignment="1"/>
    <xf numFmtId="190" fontId="30" fillId="27" borderId="13" xfId="0" applyNumberFormat="1" applyFont="1" applyFill="1" applyBorder="1" applyAlignment="1"/>
    <xf numFmtId="0" fontId="29" fillId="27" borderId="14" xfId="0" applyFont="1" applyFill="1" applyBorder="1" applyAlignment="1"/>
    <xf numFmtId="188" fontId="30" fillId="26" borderId="15" xfId="0" applyNumberFormat="1" applyFont="1" applyFill="1" applyBorder="1" applyAlignment="1"/>
    <xf numFmtId="189" fontId="30" fillId="26" borderId="15" xfId="0" applyNumberFormat="1" applyFont="1" applyFill="1" applyBorder="1" applyAlignment="1"/>
    <xf numFmtId="189" fontId="30" fillId="26" borderId="14" xfId="0" applyNumberFormat="1" applyFont="1" applyFill="1" applyBorder="1" applyAlignment="1"/>
    <xf numFmtId="187" fontId="30" fillId="26" borderId="14" xfId="0" applyNumberFormat="1" applyFont="1" applyFill="1" applyBorder="1" applyAlignment="1"/>
    <xf numFmtId="0" fontId="30" fillId="26" borderId="14" xfId="0" applyFont="1" applyFill="1" applyBorder="1" applyAlignment="1"/>
    <xf numFmtId="187" fontId="29" fillId="26" borderId="13" xfId="0" applyNumberFormat="1" applyFont="1" applyFill="1" applyBorder="1" applyAlignment="1"/>
    <xf numFmtId="188" fontId="30" fillId="25" borderId="10" xfId="0" applyNumberFormat="1" applyFont="1" applyFill="1" applyBorder="1" applyAlignment="1"/>
    <xf numFmtId="188" fontId="30" fillId="25" borderId="9" xfId="0" applyNumberFormat="1" applyFont="1" applyFill="1" applyBorder="1" applyAlignment="1"/>
    <xf numFmtId="189" fontId="30" fillId="25" borderId="9" xfId="0" applyNumberFormat="1" applyFont="1" applyFill="1" applyBorder="1" applyAlignment="1"/>
    <xf numFmtId="187" fontId="30" fillId="25" borderId="9" xfId="0" applyNumberFormat="1" applyFont="1" applyFill="1" applyBorder="1" applyAlignment="1"/>
    <xf numFmtId="0" fontId="30" fillId="25" borderId="9" xfId="0" applyFont="1" applyFill="1" applyBorder="1" applyAlignment="1"/>
    <xf numFmtId="187" fontId="27" fillId="25" borderId="8" xfId="0" applyNumberFormat="1" applyFont="1" applyFill="1" applyBorder="1" applyAlignment="1"/>
    <xf numFmtId="188" fontId="30" fillId="0" borderId="10" xfId="0" applyNumberFormat="1" applyFont="1" applyBorder="1" applyAlignment="1"/>
    <xf numFmtId="188" fontId="17" fillId="0" borderId="10" xfId="0" applyNumberFormat="1" applyFont="1" applyBorder="1" applyAlignment="1">
      <alignment horizontal="right"/>
    </xf>
    <xf numFmtId="187" fontId="17" fillId="2" borderId="10" xfId="0" applyNumberFormat="1" applyFont="1" applyFill="1" applyBorder="1" applyAlignment="1">
      <alignment horizontal="center"/>
    </xf>
    <xf numFmtId="0" fontId="30" fillId="0" borderId="10" xfId="0" applyFont="1" applyBorder="1" applyAlignment="1"/>
    <xf numFmtId="0" fontId="30" fillId="0" borderId="9" xfId="0" applyFont="1" applyBorder="1" applyAlignment="1"/>
    <xf numFmtId="0" fontId="17" fillId="0" borderId="9" xfId="0" quotePrefix="1" applyFont="1" applyBorder="1" applyAlignment="1"/>
    <xf numFmtId="187" fontId="30" fillId="0" borderId="8" xfId="0" applyNumberFormat="1" applyFont="1" applyBorder="1" applyAlignment="1"/>
    <xf numFmtId="187" fontId="24" fillId="21" borderId="14" xfId="0" quotePrefix="1" applyNumberFormat="1" applyFont="1" applyFill="1" applyBorder="1" applyAlignment="1"/>
    <xf numFmtId="187" fontId="40" fillId="2" borderId="14" xfId="0" applyNumberFormat="1" applyFont="1" applyFill="1" applyBorder="1" applyAlignment="1"/>
    <xf numFmtId="188" fontId="30" fillId="21" borderId="15" xfId="0" applyNumberFormat="1" applyFont="1" applyFill="1" applyBorder="1" applyAlignment="1"/>
    <xf numFmtId="189" fontId="30" fillId="21" borderId="15" xfId="0" applyNumberFormat="1" applyFont="1" applyFill="1" applyBorder="1" applyAlignment="1"/>
    <xf numFmtId="187" fontId="18" fillId="21" borderId="15" xfId="0" applyNumberFormat="1" applyFont="1" applyFill="1" applyBorder="1" applyAlignment="1">
      <alignment horizontal="center" wrapText="1"/>
    </xf>
    <xf numFmtId="187" fontId="30" fillId="21" borderId="13" xfId="0" applyNumberFormat="1" applyFont="1" applyFill="1" applyBorder="1" applyAlignment="1"/>
    <xf numFmtId="188" fontId="30" fillId="22" borderId="15" xfId="0" applyNumberFormat="1" applyFont="1" applyFill="1" applyBorder="1" applyAlignment="1"/>
    <xf numFmtId="189" fontId="30" fillId="22" borderId="15" xfId="0" applyNumberFormat="1" applyFont="1" applyFill="1" applyBorder="1" applyAlignment="1"/>
    <xf numFmtId="187" fontId="30" fillId="22" borderId="15" xfId="0" applyNumberFormat="1" applyFont="1" applyFill="1" applyBorder="1" applyAlignment="1"/>
    <xf numFmtId="0" fontId="30" fillId="22" borderId="15" xfId="0" applyFont="1" applyFill="1" applyBorder="1" applyAlignment="1"/>
    <xf numFmtId="0" fontId="30" fillId="22" borderId="14" xfId="0" applyFont="1" applyFill="1" applyBorder="1" applyAlignment="1"/>
    <xf numFmtId="187" fontId="30" fillId="22" borderId="14" xfId="0" applyNumberFormat="1" applyFont="1" applyFill="1" applyBorder="1" applyAlignment="1"/>
    <xf numFmtId="187" fontId="23" fillId="2" borderId="17" xfId="0" applyNumberFormat="1" applyFont="1" applyFill="1" applyBorder="1" applyAlignment="1"/>
    <xf numFmtId="187" fontId="18" fillId="23" borderId="14" xfId="0" applyNumberFormat="1" applyFont="1" applyFill="1" applyBorder="1" applyAlignment="1"/>
    <xf numFmtId="187" fontId="1" fillId="23" borderId="14" xfId="0" applyNumberFormat="1" applyFont="1" applyFill="1" applyBorder="1" applyAlignment="1"/>
    <xf numFmtId="187" fontId="16" fillId="0" borderId="15" xfId="0" applyNumberFormat="1" applyFont="1" applyBorder="1" applyAlignment="1"/>
    <xf numFmtId="188" fontId="23" fillId="34" borderId="15" xfId="0" applyNumberFormat="1" applyFont="1" applyFill="1" applyBorder="1" applyAlignment="1">
      <alignment horizontal="right"/>
    </xf>
    <xf numFmtId="187" fontId="29" fillId="0" borderId="15" xfId="0" applyNumberFormat="1" applyFont="1" applyBorder="1" applyAlignment="1">
      <alignment horizontal="center" wrapText="1"/>
    </xf>
    <xf numFmtId="187" fontId="31" fillId="2" borderId="14" xfId="0" quotePrefix="1" applyNumberFormat="1" applyFont="1" applyFill="1" applyBorder="1" applyAlignment="1"/>
    <xf numFmtId="187" fontId="29" fillId="23" borderId="14" xfId="0" applyNumberFormat="1" applyFont="1" applyFill="1" applyBorder="1" applyAlignment="1"/>
    <xf numFmtId="0" fontId="23" fillId="0" borderId="15" xfId="0" applyFont="1" applyBorder="1" applyAlignment="1"/>
    <xf numFmtId="187" fontId="23" fillId="0" borderId="15" xfId="0" applyNumberFormat="1" applyFont="1" applyBorder="1" applyAlignment="1"/>
    <xf numFmtId="0" fontId="31" fillId="2" borderId="14" xfId="0" quotePrefix="1" applyFont="1" applyFill="1" applyBorder="1" applyAlignment="1"/>
    <xf numFmtId="0" fontId="23" fillId="2" borderId="15" xfId="0" applyFont="1" applyFill="1" applyBorder="1" applyAlignment="1">
      <alignment horizontal="center"/>
    </xf>
    <xf numFmtId="0" fontId="29" fillId="23" borderId="14" xfId="0" applyFont="1" applyFill="1" applyBorder="1" applyAlignment="1"/>
    <xf numFmtId="188" fontId="29" fillId="34" borderId="15" xfId="0" applyNumberFormat="1" applyFont="1" applyFill="1" applyBorder="1" applyAlignment="1">
      <alignment horizontal="right"/>
    </xf>
    <xf numFmtId="188" fontId="29" fillId="21" borderId="15" xfId="0" applyNumberFormat="1" applyFont="1" applyFill="1" applyBorder="1" applyAlignment="1">
      <alignment horizontal="right"/>
    </xf>
    <xf numFmtId="189" fontId="29" fillId="21" borderId="15" xfId="0" applyNumberFormat="1" applyFont="1" applyFill="1" applyBorder="1" applyAlignment="1">
      <alignment horizontal="right"/>
    </xf>
    <xf numFmtId="187" fontId="29" fillId="21" borderId="15" xfId="0" applyNumberFormat="1" applyFont="1" applyFill="1" applyBorder="1" applyAlignment="1">
      <alignment horizontal="center" wrapText="1"/>
    </xf>
    <xf numFmtId="187" fontId="17" fillId="2" borderId="15" xfId="0" applyNumberFormat="1" applyFont="1" applyFill="1" applyBorder="1" applyAlignment="1">
      <alignment horizontal="center" wrapText="1"/>
    </xf>
    <xf numFmtId="187" fontId="29" fillId="22" borderId="13" xfId="0" applyNumberFormat="1" applyFont="1" applyFill="1" applyBorder="1" applyAlignment="1"/>
    <xf numFmtId="188" fontId="30" fillId="7" borderId="10" xfId="0" applyNumberFormat="1" applyFont="1" applyFill="1" applyBorder="1" applyAlignment="1"/>
    <xf numFmtId="188" fontId="30" fillId="7" borderId="9" xfId="0" applyNumberFormat="1" applyFont="1" applyFill="1" applyBorder="1" applyAlignment="1"/>
    <xf numFmtId="189" fontId="30" fillId="7" borderId="9" xfId="0" applyNumberFormat="1" applyFont="1" applyFill="1" applyBorder="1" applyAlignment="1"/>
    <xf numFmtId="187" fontId="30" fillId="7" borderId="9" xfId="0" applyNumberFormat="1" applyFont="1" applyFill="1" applyBorder="1" applyAlignment="1"/>
    <xf numFmtId="0" fontId="30" fillId="7" borderId="9" xfId="0" applyFont="1" applyFill="1" applyBorder="1" applyAlignment="1"/>
    <xf numFmtId="187" fontId="29" fillId="7" borderId="8" xfId="0" applyNumberFormat="1" applyFont="1" applyFill="1" applyBorder="1" applyAlignment="1"/>
    <xf numFmtId="187" fontId="17" fillId="0" borderId="10" xfId="0" applyNumberFormat="1" applyFont="1" applyBorder="1" applyAlignment="1">
      <alignment horizontal="center"/>
    </xf>
    <xf numFmtId="0" fontId="17" fillId="2" borderId="9" xfId="0" applyFont="1" applyFill="1" applyBorder="1" applyAlignment="1"/>
    <xf numFmtId="190" fontId="30" fillId="2" borderId="8" xfId="0" applyNumberFormat="1" applyFont="1" applyFill="1" applyBorder="1" applyAlignment="1"/>
    <xf numFmtId="188" fontId="30" fillId="10" borderId="15" xfId="0" applyNumberFormat="1" applyFont="1" applyFill="1" applyBorder="1" applyAlignment="1"/>
    <xf numFmtId="188" fontId="29" fillId="10" borderId="15" xfId="0" applyNumberFormat="1" applyFont="1" applyFill="1" applyBorder="1" applyAlignment="1">
      <alignment horizontal="right"/>
    </xf>
    <xf numFmtId="189" fontId="29" fillId="10" borderId="15" xfId="0" applyNumberFormat="1" applyFont="1" applyFill="1" applyBorder="1" applyAlignment="1">
      <alignment horizontal="right"/>
    </xf>
    <xf numFmtId="187" fontId="29" fillId="10" borderId="15" xfId="0" applyNumberFormat="1" applyFont="1" applyFill="1" applyBorder="1" applyAlignment="1">
      <alignment horizontal="center"/>
    </xf>
    <xf numFmtId="0" fontId="30" fillId="10" borderId="15" xfId="0" applyFont="1" applyFill="1" applyBorder="1" applyAlignment="1"/>
    <xf numFmtId="0" fontId="30" fillId="10" borderId="14" xfId="0" applyFont="1" applyFill="1" applyBorder="1" applyAlignment="1"/>
    <xf numFmtId="0" fontId="29" fillId="10" borderId="14" xfId="0" applyFont="1" applyFill="1" applyBorder="1" applyAlignment="1"/>
    <xf numFmtId="190" fontId="30" fillId="10" borderId="13" xfId="0" applyNumberFormat="1" applyFont="1" applyFill="1" applyBorder="1" applyAlignment="1"/>
    <xf numFmtId="188" fontId="30" fillId="20" borderId="15" xfId="0" applyNumberFormat="1" applyFont="1" applyFill="1" applyBorder="1" applyAlignment="1"/>
    <xf numFmtId="188" fontId="30" fillId="20" borderId="14" xfId="0" applyNumberFormat="1" applyFont="1" applyFill="1" applyBorder="1" applyAlignment="1"/>
    <xf numFmtId="189" fontId="30" fillId="20" borderId="14" xfId="0" applyNumberFormat="1" applyFont="1" applyFill="1" applyBorder="1" applyAlignment="1"/>
    <xf numFmtId="187" fontId="30" fillId="20" borderId="14" xfId="0" applyNumberFormat="1" applyFont="1" applyFill="1" applyBorder="1" applyAlignment="1"/>
    <xf numFmtId="0" fontId="30" fillId="20" borderId="14" xfId="0" applyFont="1" applyFill="1" applyBorder="1" applyAlignment="1"/>
    <xf numFmtId="190" fontId="30" fillId="20" borderId="14" xfId="0" applyNumberFormat="1" applyFont="1" applyFill="1" applyBorder="1" applyAlignment="1"/>
    <xf numFmtId="187" fontId="29" fillId="20" borderId="13" xfId="0" applyNumberFormat="1" applyFont="1" applyFill="1" applyBorder="1" applyAlignment="1"/>
    <xf numFmtId="190" fontId="30" fillId="2" borderId="14" xfId="0" applyNumberFormat="1" applyFont="1" applyFill="1" applyBorder="1" applyAlignment="1"/>
    <xf numFmtId="187" fontId="29" fillId="10" borderId="15" xfId="0" applyNumberFormat="1" applyFont="1" applyFill="1" applyBorder="1" applyAlignment="1">
      <alignment horizontal="center" wrapText="1"/>
    </xf>
    <xf numFmtId="187" fontId="30" fillId="10" borderId="14" xfId="0" applyNumberFormat="1" applyFont="1" applyFill="1" applyBorder="1" applyAlignment="1"/>
    <xf numFmtId="190" fontId="30" fillId="10" borderId="14" xfId="0" applyNumberFormat="1" applyFont="1" applyFill="1" applyBorder="1" applyAlignment="1"/>
    <xf numFmtId="190" fontId="29" fillId="10" borderId="14" xfId="0" applyNumberFormat="1" applyFont="1" applyFill="1" applyBorder="1" applyAlignment="1"/>
    <xf numFmtId="189" fontId="30" fillId="10" borderId="15" xfId="0" applyNumberFormat="1" applyFont="1" applyFill="1" applyBorder="1" applyAlignment="1"/>
    <xf numFmtId="189" fontId="30" fillId="10" borderId="14" xfId="0" applyNumberFormat="1" applyFont="1" applyFill="1" applyBorder="1" applyAlignment="1"/>
    <xf numFmtId="188" fontId="23" fillId="8" borderId="15" xfId="0" applyNumberFormat="1" applyFont="1" applyFill="1" applyBorder="1" applyAlignment="1">
      <alignment horizontal="right"/>
    </xf>
    <xf numFmtId="187" fontId="23" fillId="8" borderId="15" xfId="0" applyNumberFormat="1" applyFont="1" applyFill="1" applyBorder="1" applyAlignment="1">
      <alignment horizontal="center"/>
    </xf>
    <xf numFmtId="0" fontId="23" fillId="8" borderId="14" xfId="0" applyFont="1" applyFill="1" applyBorder="1" applyAlignment="1"/>
    <xf numFmtId="190" fontId="30" fillId="8" borderId="13" xfId="0" applyNumberFormat="1" applyFont="1" applyFill="1" applyBorder="1" applyAlignment="1"/>
    <xf numFmtId="190" fontId="30" fillId="8" borderId="14" xfId="0" applyNumberFormat="1" applyFont="1" applyFill="1" applyBorder="1" applyAlignment="1"/>
    <xf numFmtId="187" fontId="41" fillId="8" borderId="14" xfId="0" applyNumberFormat="1" applyFont="1" applyFill="1" applyBorder="1" applyAlignment="1"/>
    <xf numFmtId="187" fontId="23" fillId="8" borderId="15" xfId="0" applyNumberFormat="1" applyFont="1" applyFill="1" applyBorder="1" applyAlignment="1">
      <alignment horizontal="center" wrapText="1"/>
    </xf>
    <xf numFmtId="0" fontId="41" fillId="8" borderId="14" xfId="0" applyFont="1" applyFill="1" applyBorder="1" applyAlignment="1"/>
    <xf numFmtId="188" fontId="29" fillId="8" borderId="15" xfId="0" applyNumberFormat="1" applyFont="1" applyFill="1" applyBorder="1" applyAlignment="1">
      <alignment horizontal="right"/>
    </xf>
    <xf numFmtId="187" fontId="29" fillId="8" borderId="15" xfId="0" applyNumberFormat="1" applyFont="1" applyFill="1" applyBorder="1" applyAlignment="1">
      <alignment horizontal="center"/>
    </xf>
    <xf numFmtId="0" fontId="31" fillId="8" borderId="14" xfId="0" applyFont="1" applyFill="1" applyBorder="1" applyAlignment="1"/>
    <xf numFmtId="0" fontId="29" fillId="8" borderId="14" xfId="0" applyFont="1" applyFill="1" applyBorder="1" applyAlignment="1"/>
    <xf numFmtId="189" fontId="23" fillId="8" borderId="15" xfId="0" applyNumberFormat="1" applyFont="1" applyFill="1" applyBorder="1" applyAlignment="1">
      <alignment horizontal="right"/>
    </xf>
    <xf numFmtId="188" fontId="30" fillId="8" borderId="14" xfId="0" applyNumberFormat="1" applyFont="1" applyFill="1" applyBorder="1" applyAlignment="1"/>
    <xf numFmtId="189" fontId="30" fillId="8" borderId="14" xfId="0" applyNumberFormat="1" applyFont="1" applyFill="1" applyBorder="1" applyAlignment="1"/>
    <xf numFmtId="187" fontId="29" fillId="8" borderId="13" xfId="0" applyNumberFormat="1" applyFont="1" applyFill="1" applyBorder="1" applyAlignment="1"/>
    <xf numFmtId="187" fontId="41" fillId="2" borderId="14" xfId="0" applyNumberFormat="1" applyFont="1" applyFill="1" applyBorder="1" applyAlignment="1"/>
    <xf numFmtId="189" fontId="30" fillId="20" borderId="15" xfId="0" applyNumberFormat="1" applyFont="1" applyFill="1" applyBorder="1" applyAlignment="1"/>
    <xf numFmtId="187" fontId="30" fillId="20" borderId="15" xfId="0" applyNumberFormat="1" applyFont="1" applyFill="1" applyBorder="1" applyAlignment="1"/>
    <xf numFmtId="0" fontId="30" fillId="20" borderId="15" xfId="0" applyFont="1" applyFill="1" applyBorder="1" applyAlignment="1"/>
    <xf numFmtId="188" fontId="30" fillId="19" borderId="10" xfId="0" applyNumberFormat="1" applyFont="1" applyFill="1" applyBorder="1" applyAlignment="1"/>
    <xf numFmtId="188" fontId="30" fillId="19" borderId="9" xfId="0" applyNumberFormat="1" applyFont="1" applyFill="1" applyBorder="1" applyAlignment="1"/>
    <xf numFmtId="189" fontId="30" fillId="19" borderId="9" xfId="0" applyNumberFormat="1" applyFont="1" applyFill="1" applyBorder="1" applyAlignment="1"/>
    <xf numFmtId="187" fontId="30" fillId="19" borderId="9" xfId="0" applyNumberFormat="1" applyFont="1" applyFill="1" applyBorder="1" applyAlignment="1"/>
    <xf numFmtId="0" fontId="30" fillId="19" borderId="9" xfId="0" applyFont="1" applyFill="1" applyBorder="1" applyAlignment="1"/>
    <xf numFmtId="187" fontId="29" fillId="19" borderId="8" xfId="0" applyNumberFormat="1" applyFont="1" applyFill="1" applyBorder="1" applyAlignment="1"/>
    <xf numFmtId="187" fontId="23" fillId="2" borderId="10" xfId="0" applyNumberFormat="1" applyFont="1" applyFill="1" applyBorder="1" applyAlignment="1">
      <alignment horizontal="center"/>
    </xf>
    <xf numFmtId="188" fontId="23" fillId="18" borderId="15" xfId="0" applyNumberFormat="1" applyFont="1" applyFill="1" applyBorder="1" applyAlignment="1">
      <alignment horizontal="right"/>
    </xf>
    <xf numFmtId="188" fontId="30" fillId="18" borderId="15" xfId="0" applyNumberFormat="1" applyFont="1" applyFill="1" applyBorder="1" applyAlignment="1"/>
    <xf numFmtId="189" fontId="30" fillId="18" borderId="15" xfId="0" applyNumberFormat="1" applyFont="1" applyFill="1" applyBorder="1" applyAlignment="1"/>
    <xf numFmtId="0" fontId="23" fillId="18" borderId="15" xfId="0" applyFont="1" applyFill="1" applyBorder="1" applyAlignment="1">
      <alignment horizontal="center"/>
    </xf>
    <xf numFmtId="0" fontId="30" fillId="18" borderId="15" xfId="0" applyFont="1" applyFill="1" applyBorder="1" applyAlignment="1"/>
    <xf numFmtId="0" fontId="30" fillId="18" borderId="14" xfId="0" applyFont="1" applyFill="1" applyBorder="1" applyAlignment="1"/>
    <xf numFmtId="0" fontId="23" fillId="18" borderId="14" xfId="0" applyFont="1" applyFill="1" applyBorder="1" applyAlignment="1"/>
    <xf numFmtId="0" fontId="30" fillId="18" borderId="13" xfId="0" applyFont="1" applyFill="1" applyBorder="1" applyAlignment="1"/>
    <xf numFmtId="188" fontId="29" fillId="18" borderId="15" xfId="0" applyNumberFormat="1" applyFont="1" applyFill="1" applyBorder="1" applyAlignment="1">
      <alignment horizontal="right"/>
    </xf>
    <xf numFmtId="0" fontId="29" fillId="18" borderId="15" xfId="0" applyFont="1" applyFill="1" applyBorder="1" applyAlignment="1">
      <alignment horizontal="center"/>
    </xf>
    <xf numFmtId="0" fontId="31" fillId="18" borderId="14" xfId="0" applyFont="1" applyFill="1" applyBorder="1" applyAlignment="1"/>
    <xf numFmtId="0" fontId="29" fillId="18" borderId="14" xfId="0" applyFont="1" applyFill="1" applyBorder="1" applyAlignment="1"/>
    <xf numFmtId="188" fontId="30" fillId="17" borderId="15" xfId="0" applyNumberFormat="1" applyFont="1" applyFill="1" applyBorder="1" applyAlignment="1"/>
    <xf numFmtId="189" fontId="30" fillId="17" borderId="15" xfId="0" applyNumberFormat="1" applyFont="1" applyFill="1" applyBorder="1" applyAlignment="1"/>
    <xf numFmtId="0" fontId="30" fillId="17" borderId="15" xfId="0" applyFont="1" applyFill="1" applyBorder="1" applyAlignment="1"/>
    <xf numFmtId="0" fontId="30" fillId="17" borderId="14" xfId="0" applyFont="1" applyFill="1" applyBorder="1" applyAlignment="1"/>
    <xf numFmtId="0" fontId="29" fillId="17" borderId="14" xfId="0" applyFont="1" applyFill="1" applyBorder="1" applyAlignment="1"/>
    <xf numFmtId="0" fontId="30" fillId="17" borderId="13" xfId="0" applyFont="1" applyFill="1" applyBorder="1" applyAlignment="1"/>
    <xf numFmtId="188" fontId="30" fillId="16" borderId="15" xfId="0" applyNumberFormat="1" applyFont="1" applyFill="1" applyBorder="1" applyAlignment="1"/>
    <xf numFmtId="189" fontId="30" fillId="16" borderId="15" xfId="0" applyNumberFormat="1" applyFont="1" applyFill="1" applyBorder="1" applyAlignment="1"/>
    <xf numFmtId="0" fontId="30" fillId="16" borderId="15" xfId="0" applyFont="1" applyFill="1" applyBorder="1" applyAlignment="1"/>
    <xf numFmtId="0" fontId="30" fillId="16" borderId="13" xfId="0" applyFont="1" applyFill="1" applyBorder="1" applyAlignment="1"/>
    <xf numFmtId="188" fontId="30" fillId="15" borderId="10" xfId="0" applyNumberFormat="1" applyFont="1" applyFill="1" applyBorder="1" applyAlignment="1"/>
    <xf numFmtId="188" fontId="30" fillId="15" borderId="9" xfId="0" applyNumberFormat="1" applyFont="1" applyFill="1" applyBorder="1" applyAlignment="1"/>
    <xf numFmtId="189" fontId="30" fillId="15" borderId="9" xfId="0" applyNumberFormat="1" applyFont="1" applyFill="1" applyBorder="1" applyAlignment="1"/>
    <xf numFmtId="0" fontId="30" fillId="15" borderId="9" xfId="0" applyFont="1" applyFill="1" applyBorder="1" applyAlignment="1"/>
    <xf numFmtId="188" fontId="23" fillId="14" borderId="15" xfId="0" applyNumberFormat="1" applyFont="1" applyFill="1" applyBorder="1" applyAlignment="1">
      <alignment horizontal="right"/>
    </xf>
    <xf numFmtId="188" fontId="30" fillId="14" borderId="15" xfId="0" applyNumberFormat="1" applyFont="1" applyFill="1" applyBorder="1" applyAlignment="1"/>
    <xf numFmtId="189" fontId="30" fillId="14" borderId="15" xfId="0" applyNumberFormat="1" applyFont="1" applyFill="1" applyBorder="1" applyAlignment="1"/>
    <xf numFmtId="0" fontId="23" fillId="14" borderId="15" xfId="0" applyFont="1" applyFill="1" applyBorder="1" applyAlignment="1">
      <alignment horizontal="center"/>
    </xf>
    <xf numFmtId="0" fontId="30" fillId="14" borderId="15" xfId="0" applyFont="1" applyFill="1" applyBorder="1" applyAlignment="1"/>
    <xf numFmtId="0" fontId="30" fillId="14" borderId="14" xfId="0" applyFont="1" applyFill="1" applyBorder="1" applyAlignment="1"/>
    <xf numFmtId="0" fontId="23" fillId="14" borderId="14" xfId="0" applyFont="1" applyFill="1" applyBorder="1" applyAlignment="1"/>
    <xf numFmtId="0" fontId="30" fillId="14" borderId="13" xfId="0" applyFont="1" applyFill="1" applyBorder="1" applyAlignment="1"/>
    <xf numFmtId="188" fontId="29" fillId="14" borderId="15" xfId="0" applyNumberFormat="1" applyFont="1" applyFill="1" applyBorder="1" applyAlignment="1">
      <alignment horizontal="right"/>
    </xf>
    <xf numFmtId="0" fontId="29" fillId="14" borderId="15" xfId="0" applyFont="1" applyFill="1" applyBorder="1" applyAlignment="1">
      <alignment horizontal="center"/>
    </xf>
    <xf numFmtId="0" fontId="31" fillId="14" borderId="14" xfId="0" applyFont="1" applyFill="1" applyBorder="1" applyAlignment="1"/>
    <xf numFmtId="0" fontId="29" fillId="14" borderId="14" xfId="0" applyFont="1" applyFill="1" applyBorder="1" applyAlignment="1"/>
    <xf numFmtId="0" fontId="30" fillId="8" borderId="13" xfId="0" applyFont="1" applyFill="1" applyBorder="1" applyAlignment="1"/>
    <xf numFmtId="188" fontId="30" fillId="13" borderId="15" xfId="0" applyNumberFormat="1" applyFont="1" applyFill="1" applyBorder="1" applyAlignment="1"/>
    <xf numFmtId="189" fontId="30" fillId="13" borderId="15" xfId="0" applyNumberFormat="1" applyFont="1" applyFill="1" applyBorder="1" applyAlignment="1"/>
    <xf numFmtId="0" fontId="30" fillId="13" borderId="15" xfId="0" applyFont="1" applyFill="1" applyBorder="1" applyAlignment="1"/>
    <xf numFmtId="0" fontId="30" fillId="13" borderId="14" xfId="0" applyFont="1" applyFill="1" applyBorder="1" applyAlignment="1"/>
    <xf numFmtId="0" fontId="29" fillId="13" borderId="14" xfId="0" applyFont="1" applyFill="1" applyBorder="1" applyAlignment="1"/>
    <xf numFmtId="188" fontId="30" fillId="12" borderId="10" xfId="0" applyNumberFormat="1" applyFont="1" applyFill="1" applyBorder="1" applyAlignment="1"/>
    <xf numFmtId="188" fontId="30" fillId="12" borderId="9" xfId="0" applyNumberFormat="1" applyFont="1" applyFill="1" applyBorder="1" applyAlignment="1"/>
    <xf numFmtId="189" fontId="30" fillId="12" borderId="9" xfId="0" applyNumberFormat="1" applyFont="1" applyFill="1" applyBorder="1" applyAlignment="1"/>
    <xf numFmtId="0" fontId="30" fillId="12" borderId="9" xfId="0" applyFont="1" applyFill="1" applyBorder="1" applyAlignment="1"/>
    <xf numFmtId="0" fontId="29" fillId="12" borderId="8" xfId="0" applyFont="1" applyFill="1" applyBorder="1" applyAlignment="1"/>
    <xf numFmtId="188" fontId="29" fillId="11" borderId="10" xfId="0" applyNumberFormat="1" applyFont="1" applyFill="1" applyBorder="1" applyAlignment="1">
      <alignment horizontal="right"/>
    </xf>
    <xf numFmtId="188" fontId="30" fillId="11" borderId="10" xfId="0" applyNumberFormat="1" applyFont="1" applyFill="1" applyBorder="1" applyAlignment="1"/>
    <xf numFmtId="189" fontId="30" fillId="11" borderId="10" xfId="0" applyNumberFormat="1" applyFont="1" applyFill="1" applyBorder="1" applyAlignment="1"/>
    <xf numFmtId="0" fontId="30" fillId="11" borderId="10" xfId="0" applyFont="1" applyFill="1" applyBorder="1" applyAlignment="1"/>
    <xf numFmtId="0" fontId="30" fillId="11" borderId="9" xfId="0" applyFont="1" applyFill="1" applyBorder="1" applyAlignment="1"/>
    <xf numFmtId="0" fontId="29" fillId="11" borderId="8" xfId="0" applyFont="1" applyFill="1" applyBorder="1" applyAlignment="1"/>
    <xf numFmtId="0" fontId="30" fillId="8" borderId="8" xfId="0" applyFont="1" applyFill="1" applyBorder="1" applyAlignment="1"/>
    <xf numFmtId="188" fontId="23" fillId="10" borderId="15" xfId="0" applyNumberFormat="1" applyFont="1" applyFill="1" applyBorder="1" applyAlignment="1">
      <alignment horizontal="right"/>
    </xf>
    <xf numFmtId="0" fontId="23" fillId="10" borderId="15" xfId="0" applyFont="1" applyFill="1" applyBorder="1" applyAlignment="1">
      <alignment horizontal="center"/>
    </xf>
    <xf numFmtId="0" fontId="23" fillId="10" borderId="14" xfId="0" applyFont="1" applyFill="1" applyBorder="1" applyAlignment="1"/>
    <xf numFmtId="0" fontId="30" fillId="10" borderId="13" xfId="0" applyFont="1" applyFill="1" applyBorder="1" applyAlignment="1"/>
    <xf numFmtId="0" fontId="29" fillId="10" borderId="15" xfId="0" applyFont="1" applyFill="1" applyBorder="1" applyAlignment="1">
      <alignment horizontal="center"/>
    </xf>
    <xf numFmtId="0" fontId="31" fillId="10" borderId="14" xfId="0" applyFont="1" applyFill="1" applyBorder="1" applyAlignment="1"/>
    <xf numFmtId="188" fontId="30" fillId="9" borderId="10" xfId="0" applyNumberFormat="1" applyFont="1" applyFill="1" applyBorder="1" applyAlignment="1"/>
    <xf numFmtId="189" fontId="30" fillId="9" borderId="10" xfId="0" applyNumberFormat="1" applyFont="1" applyFill="1" applyBorder="1" applyAlignment="1"/>
    <xf numFmtId="0" fontId="30" fillId="9" borderId="10" xfId="0" applyFont="1" applyFill="1" applyBorder="1" applyAlignment="1"/>
    <xf numFmtId="188" fontId="29" fillId="7" borderId="10" xfId="0" applyNumberFormat="1" applyFont="1" applyFill="1" applyBorder="1" applyAlignment="1">
      <alignment horizontal="center"/>
    </xf>
    <xf numFmtId="188" fontId="29" fillId="5" borderId="10" xfId="0" applyNumberFormat="1" applyFont="1" applyFill="1" applyBorder="1" applyAlignment="1">
      <alignment horizontal="center"/>
    </xf>
    <xf numFmtId="188" fontId="29" fillId="6" borderId="10" xfId="0" applyNumberFormat="1" applyFont="1" applyFill="1" applyBorder="1" applyAlignment="1">
      <alignment horizontal="center"/>
    </xf>
    <xf numFmtId="188" fontId="29" fillId="7" borderId="10" xfId="0" applyNumberFormat="1" applyFont="1" applyFill="1" applyBorder="1" applyAlignment="1">
      <alignment horizontal="center" wrapText="1"/>
    </xf>
    <xf numFmtId="188" fontId="29" fillId="5" borderId="10" xfId="0" applyNumberFormat="1" applyFont="1" applyFill="1" applyBorder="1" applyAlignment="1">
      <alignment horizontal="center" wrapText="1"/>
    </xf>
    <xf numFmtId="188" fontId="29" fillId="4" borderId="10" xfId="0" applyNumberFormat="1" applyFont="1" applyFill="1" applyBorder="1" applyAlignment="1">
      <alignment horizontal="center"/>
    </xf>
    <xf numFmtId="187" fontId="29" fillId="4" borderId="10" xfId="0" applyNumberFormat="1" applyFont="1" applyFill="1" applyBorder="1" applyAlignment="1">
      <alignment horizontal="center" wrapText="1"/>
    </xf>
    <xf numFmtId="0" fontId="29" fillId="3" borderId="10" xfId="0" applyFont="1" applyFill="1" applyBorder="1" applyAlignment="1">
      <alignment horizontal="center"/>
    </xf>
    <xf numFmtId="0" fontId="29" fillId="3" borderId="20" xfId="0" applyFont="1" applyFill="1" applyBorder="1" applyAlignment="1">
      <alignment horizontal="center"/>
    </xf>
    <xf numFmtId="188" fontId="30" fillId="2" borderId="9" xfId="0" applyNumberFormat="1" applyFont="1" applyFill="1" applyBorder="1" applyAlignment="1"/>
    <xf numFmtId="0" fontId="29" fillId="0" borderId="0" xfId="0" applyFont="1" applyAlignment="1">
      <alignment horizontal="center"/>
    </xf>
    <xf numFmtId="188" fontId="43" fillId="2" borderId="10" xfId="0" applyNumberFormat="1" applyFont="1" applyFill="1" applyBorder="1" applyAlignment="1"/>
    <xf numFmtId="189" fontId="43" fillId="2" borderId="10" xfId="0" applyNumberFormat="1" applyFont="1" applyFill="1" applyBorder="1" applyAlignment="1"/>
    <xf numFmtId="187" fontId="43" fillId="0" borderId="10" xfId="0" applyNumberFormat="1" applyFont="1" applyBorder="1" applyAlignment="1">
      <alignment horizontal="center" wrapText="1"/>
    </xf>
    <xf numFmtId="0" fontId="43" fillId="2" borderId="10" xfId="0" applyFont="1" applyFill="1" applyBorder="1" applyAlignment="1"/>
    <xf numFmtId="0" fontId="43" fillId="2" borderId="9" xfId="0" applyFont="1" applyFill="1" applyBorder="1" applyAlignment="1"/>
    <xf numFmtId="187" fontId="43" fillId="2" borderId="9" xfId="0" applyNumberFormat="1" applyFont="1" applyFill="1" applyBorder="1" applyAlignment="1"/>
    <xf numFmtId="187" fontId="43" fillId="2" borderId="8" xfId="0" applyNumberFormat="1" applyFont="1" applyFill="1" applyBorder="1" applyAlignment="1"/>
    <xf numFmtId="189" fontId="43" fillId="2" borderId="15" xfId="0" applyNumberFormat="1" applyFont="1" applyFill="1" applyBorder="1" applyAlignment="1"/>
    <xf numFmtId="0" fontId="24" fillId="21" borderId="14" xfId="0" applyFont="1" applyFill="1" applyBorder="1" applyAlignment="1"/>
    <xf numFmtId="187" fontId="18" fillId="0" borderId="15" xfId="0" applyNumberFormat="1" applyFont="1" applyBorder="1" applyAlignment="1">
      <alignment horizontal="center"/>
    </xf>
    <xf numFmtId="188" fontId="16" fillId="35" borderId="15" xfId="0" applyNumberFormat="1" applyFont="1" applyFill="1" applyBorder="1" applyAlignment="1"/>
    <xf numFmtId="188" fontId="18" fillId="35" borderId="15" xfId="0" applyNumberFormat="1" applyFont="1" applyFill="1" applyBorder="1" applyAlignment="1">
      <alignment horizontal="right"/>
    </xf>
    <xf numFmtId="189" fontId="16" fillId="35" borderId="15" xfId="0" applyNumberFormat="1" applyFont="1" applyFill="1" applyBorder="1" applyAlignment="1"/>
    <xf numFmtId="0" fontId="18" fillId="35" borderId="15" xfId="0" applyFont="1" applyFill="1" applyBorder="1" applyAlignment="1">
      <alignment horizontal="center"/>
    </xf>
    <xf numFmtId="0" fontId="16" fillId="35" borderId="15" xfId="0" applyFont="1" applyFill="1" applyBorder="1" applyAlignment="1"/>
    <xf numFmtId="0" fontId="16" fillId="35" borderId="14" xfId="0" applyFont="1" applyFill="1" applyBorder="1" applyAlignment="1"/>
    <xf numFmtId="0" fontId="18" fillId="35" borderId="14" xfId="0" applyFont="1" applyFill="1" applyBorder="1" applyAlignment="1"/>
    <xf numFmtId="0" fontId="18" fillId="35" borderId="14" xfId="0" applyFont="1" applyFill="1" applyBorder="1" applyAlignment="1">
      <alignment horizontal="right"/>
    </xf>
    <xf numFmtId="192" fontId="30" fillId="2" borderId="10" xfId="0" applyNumberFormat="1" applyFont="1" applyFill="1" applyBorder="1" applyAlignment="1"/>
    <xf numFmtId="189" fontId="23" fillId="34" borderId="10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center"/>
    </xf>
    <xf numFmtId="0" fontId="44" fillId="0" borderId="9" xfId="0" applyFont="1" applyBorder="1" applyAlignment="1"/>
    <xf numFmtId="0" fontId="30" fillId="0" borderId="8" xfId="0" applyFont="1" applyBorder="1" applyAlignment="1"/>
    <xf numFmtId="192" fontId="30" fillId="2" borderId="15" xfId="0" applyNumberFormat="1" applyFont="1" applyFill="1" applyBorder="1" applyAlignment="1"/>
    <xf numFmtId="187" fontId="29" fillId="2" borderId="15" xfId="0" applyNumberFormat="1" applyFont="1" applyFill="1" applyBorder="1" applyAlignment="1">
      <alignment horizontal="right"/>
    </xf>
    <xf numFmtId="0" fontId="29" fillId="0" borderId="15" xfId="0" applyFont="1" applyBorder="1" applyAlignment="1">
      <alignment horizontal="center"/>
    </xf>
    <xf numFmtId="187" fontId="23" fillId="2" borderId="15" xfId="0" applyNumberFormat="1" applyFont="1" applyFill="1" applyBorder="1" applyAlignment="1">
      <alignment horizontal="right"/>
    </xf>
    <xf numFmtId="0" fontId="45" fillId="2" borderId="14" xfId="0" applyFont="1" applyFill="1" applyBorder="1" applyAlignment="1"/>
    <xf numFmtId="0" fontId="31" fillId="21" borderId="14" xfId="0" applyFont="1" applyFill="1" applyBorder="1" applyAlignment="1"/>
    <xf numFmtId="188" fontId="30" fillId="36" borderId="15" xfId="0" applyNumberFormat="1" applyFont="1" applyFill="1" applyBorder="1" applyAlignment="1"/>
    <xf numFmtId="189" fontId="30" fillId="36" borderId="15" xfId="0" applyNumberFormat="1" applyFont="1" applyFill="1" applyBorder="1" applyAlignment="1"/>
    <xf numFmtId="0" fontId="30" fillId="36" borderId="15" xfId="0" applyFont="1" applyFill="1" applyBorder="1" applyAlignment="1"/>
    <xf numFmtId="0" fontId="30" fillId="36" borderId="14" xfId="0" applyFont="1" applyFill="1" applyBorder="1" applyAlignment="1"/>
    <xf numFmtId="0" fontId="29" fillId="36" borderId="14" xfId="0" applyFont="1" applyFill="1" applyBorder="1" applyAlignment="1"/>
    <xf numFmtId="187" fontId="31" fillId="21" borderId="14" xfId="0" applyNumberFormat="1" applyFont="1" applyFill="1" applyBorder="1" applyAlignment="1"/>
    <xf numFmtId="0" fontId="18" fillId="2" borderId="14" xfId="0" applyFont="1" applyFill="1" applyBorder="1" applyAlignment="1">
      <alignment horizontal="center"/>
    </xf>
    <xf numFmtId="188" fontId="29" fillId="36" borderId="15" xfId="0" applyNumberFormat="1" applyFont="1" applyFill="1" applyBorder="1" applyAlignment="1">
      <alignment horizontal="right"/>
    </xf>
    <xf numFmtId="189" fontId="29" fillId="36" borderId="15" xfId="0" applyNumberFormat="1" applyFont="1" applyFill="1" applyBorder="1" applyAlignment="1">
      <alignment horizontal="right"/>
    </xf>
    <xf numFmtId="0" fontId="29" fillId="36" borderId="15" xfId="0" applyFont="1" applyFill="1" applyBorder="1" applyAlignment="1">
      <alignment horizontal="center"/>
    </xf>
    <xf numFmtId="188" fontId="30" fillId="35" borderId="15" xfId="0" applyNumberFormat="1" applyFont="1" applyFill="1" applyBorder="1" applyAlignment="1"/>
    <xf numFmtId="189" fontId="30" fillId="35" borderId="15" xfId="0" applyNumberFormat="1" applyFont="1" applyFill="1" applyBorder="1" applyAlignment="1"/>
    <xf numFmtId="0" fontId="30" fillId="35" borderId="15" xfId="0" applyFont="1" applyFill="1" applyBorder="1" applyAlignment="1"/>
    <xf numFmtId="0" fontId="30" fillId="35" borderId="14" xfId="0" applyFont="1" applyFill="1" applyBorder="1" applyAlignment="1"/>
    <xf numFmtId="0" fontId="29" fillId="35" borderId="14" xfId="0" applyFont="1" applyFill="1" applyBorder="1" applyAlignment="1"/>
    <xf numFmtId="0" fontId="29" fillId="35" borderId="14" xfId="0" applyFont="1" applyFill="1" applyBorder="1" applyAlignment="1">
      <alignment horizontal="right"/>
    </xf>
    <xf numFmtId="189" fontId="23" fillId="2" borderId="10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center" wrapText="1"/>
    </xf>
    <xf numFmtId="188" fontId="46" fillId="0" borderId="15" xfId="0" applyNumberFormat="1" applyFont="1" applyBorder="1" applyAlignment="1"/>
    <xf numFmtId="0" fontId="46" fillId="0" borderId="15" xfId="0" applyFont="1" applyBorder="1" applyAlignment="1"/>
    <xf numFmtId="0" fontId="46" fillId="0" borderId="14" xfId="0" applyFont="1" applyBorder="1" applyAlignment="1"/>
    <xf numFmtId="0" fontId="29" fillId="0" borderId="14" xfId="0" quotePrefix="1" applyFont="1" applyBorder="1" applyAlignment="1"/>
    <xf numFmtId="0" fontId="46" fillId="2" borderId="14" xfId="0" applyFont="1" applyFill="1" applyBorder="1" applyAlignment="1"/>
    <xf numFmtId="187" fontId="46" fillId="2" borderId="14" xfId="0" applyNumberFormat="1" applyFont="1" applyFill="1" applyBorder="1" applyAlignment="1"/>
    <xf numFmtId="0" fontId="46" fillId="2" borderId="13" xfId="0" applyFont="1" applyFill="1" applyBorder="1" applyAlignment="1"/>
    <xf numFmtId="188" fontId="46" fillId="2" borderId="15" xfId="0" applyNumberFormat="1" applyFont="1" applyFill="1" applyBorder="1" applyAlignment="1"/>
    <xf numFmtId="188" fontId="29" fillId="35" borderId="15" xfId="0" applyNumberFormat="1" applyFont="1" applyFill="1" applyBorder="1" applyAlignment="1">
      <alignment horizontal="right"/>
    </xf>
    <xf numFmtId="189" fontId="29" fillId="35" borderId="15" xfId="0" applyNumberFormat="1" applyFont="1" applyFill="1" applyBorder="1" applyAlignment="1">
      <alignment horizontal="right"/>
    </xf>
    <xf numFmtId="0" fontId="23" fillId="35" borderId="15" xfId="0" applyFont="1" applyFill="1" applyBorder="1" applyAlignment="1">
      <alignment horizontal="center"/>
    </xf>
    <xf numFmtId="187" fontId="29" fillId="35" borderId="14" xfId="0" applyNumberFormat="1" applyFont="1" applyFill="1" applyBorder="1" applyAlignment="1">
      <alignment horizontal="right"/>
    </xf>
    <xf numFmtId="187" fontId="29" fillId="36" borderId="15" xfId="0" applyNumberFormat="1" applyFont="1" applyFill="1" applyBorder="1" applyAlignment="1">
      <alignment horizontal="center"/>
    </xf>
    <xf numFmtId="190" fontId="30" fillId="36" borderId="13" xfId="0" applyNumberFormat="1" applyFont="1" applyFill="1" applyBorder="1" applyAlignment="1"/>
    <xf numFmtId="187" fontId="30" fillId="35" borderId="14" xfId="0" applyNumberFormat="1" applyFont="1" applyFill="1" applyBorder="1" applyAlignment="1"/>
    <xf numFmtId="187" fontId="29" fillId="35" borderId="14" xfId="0" applyNumberFormat="1" applyFont="1" applyFill="1" applyBorder="1" applyAlignment="1"/>
    <xf numFmtId="188" fontId="16" fillId="37" borderId="15" xfId="0" applyNumberFormat="1" applyFont="1" applyFill="1" applyBorder="1" applyAlignment="1"/>
    <xf numFmtId="189" fontId="16" fillId="37" borderId="15" xfId="0" applyNumberFormat="1" applyFont="1" applyFill="1" applyBorder="1" applyAlignment="1"/>
    <xf numFmtId="0" fontId="16" fillId="37" borderId="15" xfId="0" applyFont="1" applyFill="1" applyBorder="1" applyAlignment="1"/>
    <xf numFmtId="0" fontId="16" fillId="37" borderId="14" xfId="0" applyFont="1" applyFill="1" applyBorder="1" applyAlignment="1"/>
    <xf numFmtId="187" fontId="16" fillId="37" borderId="14" xfId="0" applyNumberFormat="1" applyFont="1" applyFill="1" applyBorder="1" applyAlignment="1"/>
    <xf numFmtId="0" fontId="18" fillId="37" borderId="13" xfId="0" applyFont="1" applyFill="1" applyBorder="1" applyAlignment="1"/>
    <xf numFmtId="187" fontId="29" fillId="0" borderId="14" xfId="0" applyNumberFormat="1" applyFont="1" applyBorder="1" applyAlignment="1"/>
    <xf numFmtId="189" fontId="23" fillId="2" borderId="15" xfId="0" applyNumberFormat="1" applyFont="1" applyFill="1" applyBorder="1" applyAlignment="1"/>
    <xf numFmtId="188" fontId="30" fillId="38" borderId="15" xfId="0" applyNumberFormat="1" applyFont="1" applyFill="1" applyBorder="1" applyAlignment="1"/>
    <xf numFmtId="188" fontId="29" fillId="38" borderId="15" xfId="0" applyNumberFormat="1" applyFont="1" applyFill="1" applyBorder="1" applyAlignment="1">
      <alignment horizontal="right"/>
    </xf>
    <xf numFmtId="189" fontId="29" fillId="38" borderId="15" xfId="0" applyNumberFormat="1" applyFont="1" applyFill="1" applyBorder="1" applyAlignment="1">
      <alignment horizontal="right"/>
    </xf>
    <xf numFmtId="0" fontId="29" fillId="38" borderId="15" xfId="0" applyFont="1" applyFill="1" applyBorder="1" applyAlignment="1">
      <alignment horizontal="center"/>
    </xf>
    <xf numFmtId="0" fontId="30" fillId="38" borderId="15" xfId="0" applyFont="1" applyFill="1" applyBorder="1" applyAlignment="1"/>
    <xf numFmtId="0" fontId="30" fillId="38" borderId="14" xfId="0" applyFont="1" applyFill="1" applyBorder="1" applyAlignment="1"/>
    <xf numFmtId="187" fontId="30" fillId="38" borderId="14" xfId="0" applyNumberFormat="1" applyFont="1" applyFill="1" applyBorder="1" applyAlignment="1"/>
    <xf numFmtId="0" fontId="30" fillId="38" borderId="13" xfId="0" applyFont="1" applyFill="1" applyBorder="1" applyAlignment="1"/>
    <xf numFmtId="0" fontId="29" fillId="38" borderId="14" xfId="0" applyFont="1" applyFill="1" applyBorder="1" applyAlignment="1"/>
    <xf numFmtId="187" fontId="29" fillId="38" borderId="14" xfId="0" applyNumberFormat="1" applyFont="1" applyFill="1" applyBorder="1" applyAlignment="1">
      <alignment horizontal="right"/>
    </xf>
    <xf numFmtId="187" fontId="17" fillId="0" borderId="14" xfId="0" applyNumberFormat="1" applyFont="1" applyBorder="1" applyAlignment="1"/>
    <xf numFmtId="189" fontId="30" fillId="34" borderId="15" xfId="0" applyNumberFormat="1" applyFont="1" applyFill="1" applyBorder="1" applyAlignment="1"/>
    <xf numFmtId="189" fontId="45" fillId="2" borderId="15" xfId="0" applyNumberFormat="1" applyFont="1" applyFill="1" applyBorder="1" applyAlignment="1"/>
    <xf numFmtId="0" fontId="29" fillId="2" borderId="15" xfId="0" applyFont="1" applyFill="1" applyBorder="1" applyAlignment="1">
      <alignment horizontal="center"/>
    </xf>
    <xf numFmtId="187" fontId="29" fillId="38" borderId="14" xfId="0" applyNumberFormat="1" applyFont="1" applyFill="1" applyBorder="1" applyAlignment="1"/>
    <xf numFmtId="187" fontId="29" fillId="38" borderId="14" xfId="0" applyNumberFormat="1" applyFont="1" applyFill="1" applyBorder="1" applyAlignment="1">
      <alignment horizontal="right" wrapText="1"/>
    </xf>
    <xf numFmtId="188" fontId="16" fillId="39" borderId="15" xfId="0" applyNumberFormat="1" applyFont="1" applyFill="1" applyBorder="1" applyAlignment="1"/>
    <xf numFmtId="189" fontId="16" fillId="39" borderId="15" xfId="0" applyNumberFormat="1" applyFont="1" applyFill="1" applyBorder="1" applyAlignment="1"/>
    <xf numFmtId="0" fontId="16" fillId="39" borderId="15" xfId="0" applyFont="1" applyFill="1" applyBorder="1" applyAlignment="1"/>
    <xf numFmtId="0" fontId="16" fillId="39" borderId="14" xfId="0" applyFont="1" applyFill="1" applyBorder="1" applyAlignment="1"/>
    <xf numFmtId="0" fontId="18" fillId="39" borderId="13" xfId="0" applyFont="1" applyFill="1" applyBorder="1" applyAlignment="1"/>
    <xf numFmtId="188" fontId="30" fillId="39" borderId="15" xfId="0" applyNumberFormat="1" applyFont="1" applyFill="1" applyBorder="1" applyAlignment="1"/>
    <xf numFmtId="188" fontId="30" fillId="39" borderId="14" xfId="0" applyNumberFormat="1" applyFont="1" applyFill="1" applyBorder="1" applyAlignment="1"/>
    <xf numFmtId="189" fontId="30" fillId="39" borderId="14" xfId="0" applyNumberFormat="1" applyFont="1" applyFill="1" applyBorder="1" applyAlignment="1"/>
    <xf numFmtId="0" fontId="30" fillId="39" borderId="14" xfId="0" applyFont="1" applyFill="1" applyBorder="1" applyAlignment="1"/>
    <xf numFmtId="0" fontId="29" fillId="39" borderId="13" xfId="0" applyFont="1" applyFill="1" applyBorder="1" applyAlignment="1"/>
    <xf numFmtId="188" fontId="29" fillId="40" borderId="29" xfId="0" applyNumberFormat="1" applyFont="1" applyFill="1" applyBorder="1" applyAlignment="1">
      <alignment horizontal="right"/>
    </xf>
    <xf numFmtId="188" fontId="30" fillId="40" borderId="29" xfId="0" applyNumberFormat="1" applyFont="1" applyFill="1" applyBorder="1" applyAlignment="1"/>
    <xf numFmtId="189" fontId="30" fillId="40" borderId="29" xfId="0" applyNumberFormat="1" applyFont="1" applyFill="1" applyBorder="1" applyAlignment="1"/>
    <xf numFmtId="0" fontId="30" fillId="40" borderId="29" xfId="0" applyFont="1" applyFill="1" applyBorder="1" applyAlignment="1"/>
    <xf numFmtId="0" fontId="30" fillId="40" borderId="30" xfId="0" applyFont="1" applyFill="1" applyBorder="1" applyAlignment="1"/>
    <xf numFmtId="0" fontId="29" fillId="40" borderId="31" xfId="0" applyFont="1" applyFill="1" applyBorder="1" applyAlignment="1"/>
    <xf numFmtId="188" fontId="46" fillId="23" borderId="15" xfId="0" applyNumberFormat="1" applyFont="1" applyFill="1" applyBorder="1" applyAlignment="1"/>
    <xf numFmtId="0" fontId="46" fillId="23" borderId="15" xfId="0" applyFont="1" applyFill="1" applyBorder="1" applyAlignment="1"/>
    <xf numFmtId="0" fontId="46" fillId="23" borderId="14" xfId="0" applyFont="1" applyFill="1" applyBorder="1" applyAlignment="1"/>
    <xf numFmtId="187" fontId="46" fillId="23" borderId="13" xfId="0" applyNumberFormat="1" applyFont="1" applyFill="1" applyBorder="1" applyAlignment="1"/>
    <xf numFmtId="187" fontId="23" fillId="0" borderId="18" xfId="0" applyNumberFormat="1" applyFont="1" applyBorder="1" applyAlignment="1">
      <alignment horizontal="center"/>
    </xf>
    <xf numFmtId="0" fontId="30" fillId="0" borderId="18" xfId="0" applyFont="1" applyBorder="1" applyAlignment="1"/>
    <xf numFmtId="0" fontId="30" fillId="0" borderId="17" xfId="0" applyFont="1" applyBorder="1" applyAlignment="1"/>
    <xf numFmtId="0" fontId="23" fillId="0" borderId="17" xfId="0" quotePrefix="1" applyFont="1" applyBorder="1" applyAlignment="1"/>
    <xf numFmtId="0" fontId="30" fillId="32" borderId="15" xfId="0" applyFont="1" applyFill="1" applyBorder="1" applyAlignment="1"/>
    <xf numFmtId="0" fontId="29" fillId="30" borderId="15" xfId="0" applyFont="1" applyFill="1" applyBorder="1" applyAlignment="1">
      <alignment horizontal="center" wrapText="1"/>
    </xf>
    <xf numFmtId="0" fontId="29" fillId="27" borderId="15" xfId="0" applyFont="1" applyFill="1" applyBorder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187" fontId="17" fillId="2" borderId="17" xfId="0" applyNumberFormat="1" applyFont="1" applyFill="1" applyBorder="1" applyAlignment="1"/>
    <xf numFmtId="0" fontId="29" fillId="21" borderId="15" xfId="0" applyFont="1" applyFill="1" applyBorder="1" applyAlignment="1">
      <alignment horizontal="center" wrapText="1"/>
    </xf>
    <xf numFmtId="0" fontId="29" fillId="10" borderId="15" xfId="0" applyFont="1" applyFill="1" applyBorder="1" applyAlignment="1">
      <alignment horizontal="center" wrapText="1"/>
    </xf>
    <xf numFmtId="188" fontId="30" fillId="0" borderId="18" xfId="0" applyNumberFormat="1" applyFont="1" applyBorder="1" applyAlignment="1"/>
    <xf numFmtId="188" fontId="23" fillId="34" borderId="18" xfId="0" applyNumberFormat="1" applyFont="1" applyFill="1" applyBorder="1" applyAlignment="1">
      <alignment horizontal="right"/>
    </xf>
    <xf numFmtId="187" fontId="30" fillId="2" borderId="17" xfId="0" applyNumberFormat="1" applyFont="1" applyFill="1" applyBorder="1" applyAlignment="1"/>
    <xf numFmtId="187" fontId="30" fillId="2" borderId="16" xfId="0" applyNumberFormat="1" applyFont="1" applyFill="1" applyBorder="1" applyAlignment="1"/>
    <xf numFmtId="188" fontId="1" fillId="5" borderId="5" xfId="0" applyNumberFormat="1" applyFont="1" applyFill="1" applyBorder="1" applyAlignment="1">
      <alignment horizontal="center" wrapText="1"/>
    </xf>
    <xf numFmtId="0" fontId="3" fillId="0" borderId="7" xfId="0" applyFont="1" applyBorder="1"/>
    <xf numFmtId="188" fontId="1" fillId="6" borderId="5" xfId="0" applyNumberFormat="1" applyFont="1" applyFill="1" applyBorder="1" applyAlignment="1">
      <alignment horizontal="center"/>
    </xf>
    <xf numFmtId="0" fontId="3" fillId="0" borderId="6" xfId="0" applyFont="1" applyBorder="1"/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4" borderId="5" xfId="0" applyFont="1" applyFill="1" applyBorder="1" applyAlignment="1">
      <alignment horizontal="center"/>
    </xf>
    <xf numFmtId="0" fontId="1" fillId="8" borderId="5" xfId="0" applyFont="1" applyFill="1" applyBorder="1" applyAlignment="1"/>
    <xf numFmtId="0" fontId="1" fillId="9" borderId="8" xfId="0" applyFont="1" applyFill="1" applyBorder="1" applyAlignment="1"/>
    <xf numFmtId="0" fontId="1" fillId="8" borderId="8" xfId="0" applyFont="1" applyFill="1" applyBorder="1" applyAlignment="1"/>
    <xf numFmtId="0" fontId="1" fillId="15" borderId="5" xfId="0" applyFont="1" applyFill="1" applyBorder="1" applyAlignment="1"/>
    <xf numFmtId="0" fontId="1" fillId="16" borderId="14" xfId="0" applyFont="1" applyFill="1" applyBorder="1" applyAlignment="1"/>
    <xf numFmtId="0" fontId="3" fillId="0" borderId="14" xfId="0" applyFont="1" applyBorder="1"/>
    <xf numFmtId="0" fontId="3" fillId="0" borderId="15" xfId="0" applyFont="1" applyBorder="1"/>
    <xf numFmtId="0" fontId="18" fillId="8" borderId="5" xfId="0" applyFont="1" applyFill="1" applyBorder="1" applyAlignment="1"/>
    <xf numFmtId="0" fontId="18" fillId="8" borderId="8" xfId="0" applyFont="1" applyFill="1" applyBorder="1" applyAlignment="1"/>
    <xf numFmtId="0" fontId="42" fillId="0" borderId="9" xfId="0" applyFont="1" applyBorder="1"/>
    <xf numFmtId="0" fontId="29" fillId="9" borderId="8" xfId="0" applyFont="1" applyFill="1" applyBorder="1" applyAlignment="1"/>
    <xf numFmtId="0" fontId="30" fillId="8" borderId="8" xfId="0" applyFont="1" applyFill="1" applyBorder="1" applyAlignment="1"/>
    <xf numFmtId="0" fontId="29" fillId="15" borderId="8" xfId="0" applyFont="1" applyFill="1" applyBorder="1" applyAlignment="1"/>
    <xf numFmtId="0" fontId="29" fillId="16" borderId="14" xfId="0" applyFont="1" applyFill="1" applyBorder="1" applyAlignment="1"/>
    <xf numFmtId="0" fontId="29" fillId="0" borderId="0" xfId="0" applyFont="1" applyAlignment="1">
      <alignment horizontal="center"/>
    </xf>
    <xf numFmtId="188" fontId="29" fillId="5" borderId="9" xfId="0" applyNumberFormat="1" applyFont="1" applyFill="1" applyBorder="1" applyAlignment="1">
      <alignment horizontal="center" wrapText="1"/>
    </xf>
    <xf numFmtId="188" fontId="29" fillId="6" borderId="9" xfId="0" applyNumberFormat="1" applyFont="1" applyFill="1" applyBorder="1" applyAlignment="1">
      <alignment horizontal="center"/>
    </xf>
    <xf numFmtId="0" fontId="29" fillId="3" borderId="19" xfId="0" applyFont="1" applyFill="1" applyBorder="1" applyAlignment="1">
      <alignment horizontal="center"/>
    </xf>
    <xf numFmtId="0" fontId="0" fillId="0" borderId="0" xfId="0" applyFont="1" applyAlignment="1"/>
    <xf numFmtId="0" fontId="3" fillId="0" borderId="20" xfId="0" applyFont="1" applyBorder="1"/>
    <xf numFmtId="0" fontId="29" fillId="4" borderId="9" xfId="0" applyFont="1" applyFill="1" applyBorder="1" applyAlignment="1">
      <alignment horizontal="center"/>
    </xf>
    <xf numFmtId="0" fontId="31" fillId="2" borderId="14" xfId="0" applyFont="1" applyFill="1" applyBorder="1" applyAlignment="1"/>
    <xf numFmtId="0" fontId="24" fillId="2" borderId="14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P545"/>
  <sheetViews>
    <sheetView tabSelected="1" view="pageBreakPreview" zoomScale="60" zoomScaleNormal="60" workbookViewId="0">
      <pane xSplit="8" ySplit="6" topLeftCell="I7" activePane="bottomRight" state="frozen"/>
      <selection activeCell="Q26" sqref="Q26"/>
      <selection pane="topRight" activeCell="Q26" sqref="Q26"/>
      <selection pane="bottomLeft" activeCell="Q26" sqref="Q26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2.5703125" bestFit="1" customWidth="1"/>
    <col min="12" max="14" width="23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093" t="s">
        <v>0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</row>
    <row r="2" spans="1:16" ht="19.5" x14ac:dyDescent="0.3">
      <c r="A2" s="1093" t="s">
        <v>1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</row>
    <row r="3" spans="1:16" ht="19.5" x14ac:dyDescent="0.3">
      <c r="A3" s="1093" t="s">
        <v>275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</row>
    <row r="4" spans="1:16" ht="12.75" x14ac:dyDescent="0.2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 x14ac:dyDescent="0.3">
      <c r="A5" s="1094" t="s">
        <v>2</v>
      </c>
      <c r="B5" s="1095"/>
      <c r="C5" s="1095"/>
      <c r="D5" s="1095"/>
      <c r="E5" s="1095"/>
      <c r="F5" s="1095"/>
      <c r="G5" s="1096"/>
      <c r="H5" s="4" t="s">
        <v>3</v>
      </c>
      <c r="I5" s="1100" t="s">
        <v>4</v>
      </c>
      <c r="J5" s="1092"/>
      <c r="K5" s="1090"/>
      <c r="L5" s="1089" t="s">
        <v>5</v>
      </c>
      <c r="M5" s="1090"/>
      <c r="N5" s="1091" t="s">
        <v>6</v>
      </c>
      <c r="O5" s="1092"/>
      <c r="P5" s="1090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5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19.5" hidden="1" x14ac:dyDescent="0.3">
      <c r="A7" s="1101"/>
      <c r="B7" s="1092"/>
      <c r="C7" s="1092"/>
      <c r="D7" s="1092"/>
      <c r="E7" s="1092"/>
      <c r="F7" s="1092"/>
      <c r="G7" s="1090"/>
      <c r="H7" s="13"/>
      <c r="I7" s="14"/>
      <c r="J7" s="14"/>
      <c r="K7" s="15"/>
      <c r="L7" s="15"/>
      <c r="M7" s="15"/>
      <c r="N7" s="15"/>
      <c r="O7" s="15"/>
      <c r="P7" s="15"/>
    </row>
    <row r="8" spans="1:16" ht="19.5" hidden="1" x14ac:dyDescent="0.3">
      <c r="A8" s="16"/>
      <c r="B8" s="17"/>
      <c r="C8" s="18"/>
      <c r="D8" s="19"/>
      <c r="E8" s="17"/>
      <c r="F8" s="17"/>
      <c r="G8" s="20"/>
      <c r="H8" s="21"/>
      <c r="I8" s="22"/>
      <c r="J8" s="22"/>
      <c r="K8" s="23"/>
      <c r="L8" s="24"/>
      <c r="M8" s="24"/>
      <c r="N8" s="24"/>
      <c r="O8" s="24"/>
      <c r="P8" s="24"/>
    </row>
    <row r="9" spans="1:16" ht="18.75" hidden="1" x14ac:dyDescent="0.25">
      <c r="A9" s="16"/>
      <c r="B9" s="17"/>
      <c r="C9" s="17"/>
      <c r="D9" s="17"/>
      <c r="E9" s="25"/>
      <c r="F9" s="17"/>
      <c r="G9" s="20"/>
      <c r="H9" s="26"/>
      <c r="I9" s="22"/>
      <c r="J9" s="22"/>
      <c r="K9" s="23"/>
      <c r="L9" s="27"/>
      <c r="M9" s="27"/>
      <c r="N9" s="27"/>
      <c r="O9" s="27"/>
      <c r="P9" s="27"/>
    </row>
    <row r="10" spans="1:16" ht="18.75" hidden="1" x14ac:dyDescent="0.25">
      <c r="A10" s="16"/>
      <c r="B10" s="17"/>
      <c r="C10" s="17"/>
      <c r="D10" s="17"/>
      <c r="E10" s="25"/>
      <c r="F10" s="17"/>
      <c r="G10" s="20"/>
      <c r="H10" s="26"/>
      <c r="I10" s="22"/>
      <c r="J10" s="22"/>
      <c r="K10" s="23"/>
      <c r="L10" s="27"/>
      <c r="M10" s="27"/>
      <c r="N10" s="27"/>
      <c r="O10" s="27"/>
      <c r="P10" s="27"/>
    </row>
    <row r="11" spans="1:16" ht="18.75" hidden="1" x14ac:dyDescent="0.25">
      <c r="A11" s="16"/>
      <c r="B11" s="17"/>
      <c r="C11" s="17"/>
      <c r="D11" s="28"/>
      <c r="E11" s="17"/>
      <c r="F11" s="17"/>
      <c r="G11" s="20"/>
      <c r="H11" s="26"/>
      <c r="I11" s="22"/>
      <c r="J11" s="22"/>
      <c r="K11" s="23"/>
      <c r="L11" s="27"/>
      <c r="M11" s="27"/>
      <c r="N11" s="27"/>
      <c r="O11" s="27"/>
      <c r="P11" s="27"/>
    </row>
    <row r="12" spans="1:16" ht="18.75" hidden="1" x14ac:dyDescent="0.25">
      <c r="A12" s="16"/>
      <c r="B12" s="17"/>
      <c r="C12" s="17"/>
      <c r="D12" s="17"/>
      <c r="E12" s="25"/>
      <c r="F12" s="17"/>
      <c r="G12" s="20"/>
      <c r="H12" s="26"/>
      <c r="I12" s="22"/>
      <c r="J12" s="22"/>
      <c r="K12" s="23"/>
      <c r="L12" s="27"/>
      <c r="M12" s="27"/>
      <c r="N12" s="27"/>
      <c r="O12" s="27"/>
      <c r="P12" s="27"/>
    </row>
    <row r="13" spans="1:16" ht="18.75" hidden="1" x14ac:dyDescent="0.25">
      <c r="A13" s="16"/>
      <c r="B13" s="17"/>
      <c r="C13" s="17"/>
      <c r="D13" s="17"/>
      <c r="E13" s="25"/>
      <c r="F13" s="17"/>
      <c r="G13" s="20"/>
      <c r="H13" s="26"/>
      <c r="I13" s="22"/>
      <c r="J13" s="22"/>
      <c r="K13" s="23"/>
      <c r="L13" s="27"/>
      <c r="M13" s="27"/>
      <c r="N13" s="27"/>
      <c r="O13" s="27"/>
      <c r="P13" s="27"/>
    </row>
    <row r="14" spans="1:16" ht="18.75" hidden="1" x14ac:dyDescent="0.25">
      <c r="A14" s="16"/>
      <c r="B14" s="17"/>
      <c r="C14" s="17"/>
      <c r="D14" s="28"/>
      <c r="E14" s="17"/>
      <c r="F14" s="17"/>
      <c r="G14" s="20"/>
      <c r="H14" s="26"/>
      <c r="I14" s="22"/>
      <c r="J14" s="22"/>
      <c r="K14" s="23"/>
      <c r="L14" s="27"/>
      <c r="M14" s="27"/>
      <c r="N14" s="27"/>
      <c r="O14" s="27"/>
      <c r="P14" s="27"/>
    </row>
    <row r="15" spans="1:16" ht="18.75" hidden="1" x14ac:dyDescent="0.25">
      <c r="A15" s="16"/>
      <c r="B15" s="17"/>
      <c r="C15" s="17"/>
      <c r="D15" s="17"/>
      <c r="E15" s="25"/>
      <c r="F15" s="17"/>
      <c r="G15" s="20"/>
      <c r="H15" s="26"/>
      <c r="I15" s="22"/>
      <c r="J15" s="22"/>
      <c r="K15" s="23"/>
      <c r="L15" s="27"/>
      <c r="M15" s="27"/>
      <c r="N15" s="27"/>
      <c r="O15" s="27"/>
      <c r="P15" s="27"/>
    </row>
    <row r="16" spans="1:16" ht="18.75" hidden="1" x14ac:dyDescent="0.25">
      <c r="A16" s="29"/>
      <c r="B16" s="30"/>
      <c r="C16" s="30"/>
      <c r="D16" s="30"/>
      <c r="E16" s="31"/>
      <c r="F16" s="30"/>
      <c r="G16" s="32"/>
      <c r="H16" s="33"/>
      <c r="I16" s="34"/>
      <c r="J16" s="34"/>
      <c r="K16" s="35"/>
      <c r="L16" s="36"/>
      <c r="M16" s="36"/>
      <c r="N16" s="36"/>
      <c r="O16" s="36"/>
      <c r="P16" s="36"/>
    </row>
    <row r="17" spans="1:16" ht="19.5" x14ac:dyDescent="0.3">
      <c r="A17" s="1102" t="s">
        <v>15</v>
      </c>
      <c r="B17" s="1098"/>
      <c r="C17" s="1098"/>
      <c r="D17" s="1098"/>
      <c r="E17" s="1098"/>
      <c r="F17" s="1098"/>
      <c r="G17" s="1099"/>
      <c r="H17" s="37"/>
      <c r="I17" s="38"/>
      <c r="J17" s="38"/>
      <c r="K17" s="39"/>
      <c r="L17" s="39"/>
      <c r="M17" s="39"/>
      <c r="N17" s="39"/>
      <c r="O17" s="39"/>
      <c r="P17" s="39"/>
    </row>
    <row r="18" spans="1:16" ht="19.5" x14ac:dyDescent="0.3">
      <c r="A18" s="40"/>
      <c r="B18" s="41"/>
      <c r="C18" s="42" t="s">
        <v>16</v>
      </c>
      <c r="D18" s="43" t="s">
        <v>17</v>
      </c>
      <c r="E18" s="41"/>
      <c r="F18" s="41"/>
      <c r="G18" s="44"/>
      <c r="H18" s="45" t="s">
        <v>12</v>
      </c>
      <c r="I18" s="46"/>
      <c r="J18" s="46"/>
      <c r="K18" s="47"/>
      <c r="L18" s="48">
        <f t="shared" ref="L18:N18" ca="1" si="0">L19+L20</f>
        <v>34570683</v>
      </c>
      <c r="M18" s="48">
        <f t="shared" ca="1" si="0"/>
        <v>28665369</v>
      </c>
      <c r="N18" s="48">
        <f t="shared" ca="1" si="0"/>
        <v>12910271.409999996</v>
      </c>
      <c r="O18" s="48">
        <f t="shared" ref="O18:O29" ca="1" si="1">IF(L18&gt;0,N18*100/L18,0)</f>
        <v>37.344565654083247</v>
      </c>
      <c r="P18" s="48">
        <f t="shared" ref="P18:P29" ca="1" si="2">IF(M18&gt;0,N18*100/M18,0)</f>
        <v>45.037869249127738</v>
      </c>
    </row>
    <row r="19" spans="1:16" ht="18.75" x14ac:dyDescent="0.25">
      <c r="A19" s="40"/>
      <c r="B19" s="41"/>
      <c r="C19" s="41"/>
      <c r="D19" s="41"/>
      <c r="E19" s="49" t="s">
        <v>18</v>
      </c>
      <c r="F19" s="41"/>
      <c r="G19" s="44"/>
      <c r="H19" s="50" t="s">
        <v>12</v>
      </c>
      <c r="I19" s="46"/>
      <c r="J19" s="46"/>
      <c r="K19" s="47"/>
      <c r="L19" s="51">
        <f t="shared" ref="L19:N19" ca="1" si="3">L22+L25+L28</f>
        <v>0</v>
      </c>
      <c r="M19" s="51">
        <f t="shared" ca="1" si="3"/>
        <v>0</v>
      </c>
      <c r="N19" s="51">
        <f t="shared" ca="1" si="3"/>
        <v>0</v>
      </c>
      <c r="O19" s="51">
        <f t="shared" ca="1" si="1"/>
        <v>0</v>
      </c>
      <c r="P19" s="51">
        <f t="shared" ca="1" si="2"/>
        <v>0</v>
      </c>
    </row>
    <row r="20" spans="1:16" ht="18.75" x14ac:dyDescent="0.25">
      <c r="A20" s="40"/>
      <c r="B20" s="41"/>
      <c r="C20" s="41"/>
      <c r="D20" s="41"/>
      <c r="E20" s="49" t="s">
        <v>19</v>
      </c>
      <c r="F20" s="41"/>
      <c r="G20" s="44"/>
      <c r="H20" s="50" t="s">
        <v>12</v>
      </c>
      <c r="I20" s="46"/>
      <c r="J20" s="46"/>
      <c r="K20" s="47"/>
      <c r="L20" s="51">
        <f t="shared" ref="L20:N20" ca="1" si="4">L23+L26+L29</f>
        <v>34570683</v>
      </c>
      <c r="M20" s="51">
        <f t="shared" ca="1" si="4"/>
        <v>28665369</v>
      </c>
      <c r="N20" s="51">
        <f t="shared" ca="1" si="4"/>
        <v>12910271.409999996</v>
      </c>
      <c r="O20" s="51">
        <f t="shared" ca="1" si="1"/>
        <v>37.344565654083247</v>
      </c>
      <c r="P20" s="51">
        <f t="shared" ca="1" si="2"/>
        <v>45.037869249127738</v>
      </c>
    </row>
    <row r="21" spans="1:16" ht="18.75" x14ac:dyDescent="0.25">
      <c r="A21" s="52"/>
      <c r="B21" s="53"/>
      <c r="C21" s="53"/>
      <c r="D21" s="54" t="s">
        <v>20</v>
      </c>
      <c r="E21" s="53"/>
      <c r="F21" s="53"/>
      <c r="G21" s="55"/>
      <c r="H21" s="56" t="s">
        <v>12</v>
      </c>
      <c r="I21" s="57"/>
      <c r="J21" s="57"/>
      <c r="K21" s="58"/>
      <c r="L21" s="59">
        <f t="shared" ref="L21:N21" ca="1" si="5">L22+L23</f>
        <v>34570683</v>
      </c>
      <c r="M21" s="59">
        <f t="shared" ca="1" si="5"/>
        <v>28665369</v>
      </c>
      <c r="N21" s="59">
        <f t="shared" ca="1" si="5"/>
        <v>12910271.409999996</v>
      </c>
      <c r="O21" s="59">
        <f t="shared" ca="1" si="1"/>
        <v>37.344565654083247</v>
      </c>
      <c r="P21" s="59">
        <f t="shared" ca="1" si="2"/>
        <v>45.037869249127738</v>
      </c>
    </row>
    <row r="22" spans="1:16" ht="18.75" x14ac:dyDescent="0.25">
      <c r="A22" s="52"/>
      <c r="B22" s="53"/>
      <c r="C22" s="53"/>
      <c r="D22" s="53"/>
      <c r="E22" s="60" t="s">
        <v>18</v>
      </c>
      <c r="F22" s="53"/>
      <c r="G22" s="55"/>
      <c r="H22" s="56" t="s">
        <v>12</v>
      </c>
      <c r="I22" s="57"/>
      <c r="J22" s="57"/>
      <c r="K22" s="58"/>
      <c r="L22" s="59">
        <f t="shared" ref="L22:N22" ca="1" si="6">L48+L63+L76+L98+L129+L143+L161+L190+L177+L270+L286+L307+L324+L337+L360+L381</f>
        <v>0</v>
      </c>
      <c r="M22" s="59">
        <f t="shared" ca="1" si="6"/>
        <v>0</v>
      </c>
      <c r="N22" s="59">
        <f t="shared" ca="1" si="6"/>
        <v>0</v>
      </c>
      <c r="O22" s="59">
        <f t="shared" ca="1" si="1"/>
        <v>0</v>
      </c>
      <c r="P22" s="59">
        <f t="shared" ca="1" si="2"/>
        <v>0</v>
      </c>
    </row>
    <row r="23" spans="1:16" ht="18.75" x14ac:dyDescent="0.25">
      <c r="A23" s="52"/>
      <c r="B23" s="53"/>
      <c r="C23" s="53"/>
      <c r="D23" s="53"/>
      <c r="E23" s="60" t="s">
        <v>19</v>
      </c>
      <c r="F23" s="53"/>
      <c r="G23" s="55"/>
      <c r="H23" s="56" t="s">
        <v>12</v>
      </c>
      <c r="I23" s="57"/>
      <c r="J23" s="57"/>
      <c r="K23" s="58"/>
      <c r="L23" s="59">
        <f t="shared" ref="L23:N23" ca="1" si="7">L49+L64+L77+L99+L130+L144+L162+L191+L178+L271+L287+L308+L325+L338+L361+L382</f>
        <v>34570683</v>
      </c>
      <c r="M23" s="59">
        <f t="shared" ca="1" si="7"/>
        <v>28665369</v>
      </c>
      <c r="N23" s="59">
        <f t="shared" ca="1" si="7"/>
        <v>12910271.409999996</v>
      </c>
      <c r="O23" s="59">
        <f t="shared" ca="1" si="1"/>
        <v>37.344565654083247</v>
      </c>
      <c r="P23" s="59">
        <f t="shared" ca="1" si="2"/>
        <v>45.037869249127738</v>
      </c>
    </row>
    <row r="24" spans="1:16" ht="18.75" x14ac:dyDescent="0.25">
      <c r="A24" s="52"/>
      <c r="B24" s="53"/>
      <c r="C24" s="53"/>
      <c r="D24" s="54" t="s">
        <v>21</v>
      </c>
      <c r="E24" s="53"/>
      <c r="F24" s="53"/>
      <c r="G24" s="55"/>
      <c r="H24" s="56" t="s">
        <v>12</v>
      </c>
      <c r="I24" s="57"/>
      <c r="J24" s="57"/>
      <c r="K24" s="58"/>
      <c r="L24" s="61">
        <f t="shared" ref="L24:N24" ca="1" si="8">L25+L26</f>
        <v>0</v>
      </c>
      <c r="M24" s="59">
        <f t="shared" ca="1" si="8"/>
        <v>0</v>
      </c>
      <c r="N24" s="59">
        <f t="shared" ca="1" si="8"/>
        <v>0</v>
      </c>
      <c r="O24" s="59">
        <f t="shared" ca="1" si="1"/>
        <v>0</v>
      </c>
      <c r="P24" s="59">
        <f t="shared" ca="1" si="2"/>
        <v>0</v>
      </c>
    </row>
    <row r="25" spans="1:16" ht="18.75" x14ac:dyDescent="0.25">
      <c r="A25" s="52"/>
      <c r="B25" s="53"/>
      <c r="C25" s="53"/>
      <c r="D25" s="53"/>
      <c r="E25" s="60" t="s">
        <v>18</v>
      </c>
      <c r="F25" s="53"/>
      <c r="G25" s="55"/>
      <c r="H25" s="56" t="s">
        <v>12</v>
      </c>
      <c r="I25" s="57"/>
      <c r="J25" s="57"/>
      <c r="K25" s="58"/>
      <c r="L25" s="59">
        <f t="shared" ref="L25:N25" ca="1" si="9">L51+L66+L79+L101+L132+L146+L164+L193+L180+L273+L289+L310+L327+L340+L363+L384</f>
        <v>0</v>
      </c>
      <c r="M25" s="59">
        <f t="shared" ca="1" si="9"/>
        <v>0</v>
      </c>
      <c r="N25" s="59">
        <f t="shared" ca="1" si="9"/>
        <v>0</v>
      </c>
      <c r="O25" s="59">
        <f t="shared" ca="1" si="1"/>
        <v>0</v>
      </c>
      <c r="P25" s="59">
        <f t="shared" ca="1" si="2"/>
        <v>0</v>
      </c>
    </row>
    <row r="26" spans="1:16" ht="18.75" x14ac:dyDescent="0.25">
      <c r="A26" s="52"/>
      <c r="B26" s="53"/>
      <c r="C26" s="53"/>
      <c r="D26" s="53"/>
      <c r="E26" s="60" t="s">
        <v>19</v>
      </c>
      <c r="F26" s="53"/>
      <c r="G26" s="55"/>
      <c r="H26" s="56" t="s">
        <v>12</v>
      </c>
      <c r="I26" s="57"/>
      <c r="J26" s="57"/>
      <c r="K26" s="58"/>
      <c r="L26" s="59">
        <f t="shared" ref="L26:N26" ca="1" si="10">L52+L67+L80+L102+L133+L147+L165+L194+L181+L274+L290+L311+L328+L341+L364+L385</f>
        <v>0</v>
      </c>
      <c r="M26" s="59">
        <f t="shared" ca="1" si="10"/>
        <v>0</v>
      </c>
      <c r="N26" s="59">
        <f t="shared" ca="1" si="10"/>
        <v>0</v>
      </c>
      <c r="O26" s="59">
        <f t="shared" ca="1" si="1"/>
        <v>0</v>
      </c>
      <c r="P26" s="59">
        <f t="shared" ca="1" si="2"/>
        <v>0</v>
      </c>
    </row>
    <row r="27" spans="1:16" ht="18.75" x14ac:dyDescent="0.25">
      <c r="A27" s="62"/>
      <c r="B27" s="63"/>
      <c r="C27" s="63"/>
      <c r="D27" s="64" t="s">
        <v>22</v>
      </c>
      <c r="E27" s="63"/>
      <c r="F27" s="63"/>
      <c r="G27" s="65"/>
      <c r="H27" s="66" t="s">
        <v>12</v>
      </c>
      <c r="I27" s="67"/>
      <c r="J27" s="67"/>
      <c r="K27" s="68"/>
      <c r="L27" s="69">
        <f t="shared" ref="L27:N27" ca="1" si="11">L28+L29</f>
        <v>0</v>
      </c>
      <c r="M27" s="69">
        <f t="shared" ca="1" si="11"/>
        <v>0</v>
      </c>
      <c r="N27" s="69">
        <f t="shared" ca="1" si="11"/>
        <v>0</v>
      </c>
      <c r="O27" s="69">
        <f t="shared" ca="1" si="1"/>
        <v>0</v>
      </c>
      <c r="P27" s="69">
        <f t="shared" ca="1" si="2"/>
        <v>0</v>
      </c>
    </row>
    <row r="28" spans="1:16" ht="18.75" x14ac:dyDescent="0.25">
      <c r="A28" s="52"/>
      <c r="B28" s="53"/>
      <c r="C28" s="53"/>
      <c r="D28" s="53"/>
      <c r="E28" s="60" t="s">
        <v>18</v>
      </c>
      <c r="F28" s="53"/>
      <c r="G28" s="55"/>
      <c r="H28" s="56" t="s">
        <v>12</v>
      </c>
      <c r="I28" s="57"/>
      <c r="J28" s="57"/>
      <c r="K28" s="58"/>
      <c r="L28" s="59">
        <f t="shared" ref="L28:N28" ca="1" si="12">L54</f>
        <v>0</v>
      </c>
      <c r="M28" s="59">
        <f t="shared" ca="1" si="12"/>
        <v>0</v>
      </c>
      <c r="N28" s="59">
        <f t="shared" ca="1" si="12"/>
        <v>0</v>
      </c>
      <c r="O28" s="59">
        <f t="shared" ca="1" si="1"/>
        <v>0</v>
      </c>
      <c r="P28" s="59">
        <f t="shared" ca="1" si="2"/>
        <v>0</v>
      </c>
    </row>
    <row r="29" spans="1:16" ht="18.75" x14ac:dyDescent="0.25">
      <c r="A29" s="70"/>
      <c r="B29" s="71"/>
      <c r="C29" s="71"/>
      <c r="D29" s="71"/>
      <c r="E29" s="72" t="s">
        <v>19</v>
      </c>
      <c r="F29" s="71"/>
      <c r="G29" s="73"/>
      <c r="H29" s="74" t="s">
        <v>12</v>
      </c>
      <c r="I29" s="75"/>
      <c r="J29" s="75"/>
      <c r="K29" s="76"/>
      <c r="L29" s="77">
        <f t="shared" ref="L29:N29" ca="1" si="13">L55</f>
        <v>0</v>
      </c>
      <c r="M29" s="77">
        <f t="shared" ca="1" si="13"/>
        <v>0</v>
      </c>
      <c r="N29" s="77">
        <f t="shared" ca="1" si="13"/>
        <v>0</v>
      </c>
      <c r="O29" s="77">
        <f t="shared" ca="1" si="1"/>
        <v>0</v>
      </c>
      <c r="P29" s="77">
        <f t="shared" ca="1" si="2"/>
        <v>0</v>
      </c>
    </row>
    <row r="30" spans="1:16" ht="19.5" hidden="1" x14ac:dyDescent="0.3">
      <c r="A30" s="1103"/>
      <c r="B30" s="1098"/>
      <c r="C30" s="1098"/>
      <c r="D30" s="1098"/>
      <c r="E30" s="1098"/>
      <c r="F30" s="1098"/>
      <c r="G30" s="1099"/>
      <c r="H30" s="32"/>
      <c r="I30" s="34"/>
      <c r="J30" s="34"/>
      <c r="K30" s="35"/>
      <c r="L30" s="35"/>
      <c r="M30" s="35"/>
      <c r="N30" s="35"/>
      <c r="O30" s="35"/>
      <c r="P30" s="35"/>
    </row>
    <row r="31" spans="1:16" ht="19.5" hidden="1" x14ac:dyDescent="0.3">
      <c r="A31" s="16"/>
      <c r="B31" s="17"/>
      <c r="C31" s="18"/>
      <c r="D31" s="19"/>
      <c r="E31" s="17"/>
      <c r="F31" s="17"/>
      <c r="G31" s="20"/>
      <c r="H31" s="21"/>
      <c r="I31" s="22"/>
      <c r="J31" s="22"/>
      <c r="K31" s="23"/>
      <c r="L31" s="24"/>
      <c r="M31" s="24"/>
      <c r="N31" s="24"/>
      <c r="O31" s="24"/>
      <c r="P31" s="24"/>
    </row>
    <row r="32" spans="1:16" ht="18.75" hidden="1" x14ac:dyDescent="0.25">
      <c r="A32" s="16"/>
      <c r="B32" s="17"/>
      <c r="C32" s="17"/>
      <c r="D32" s="17"/>
      <c r="E32" s="25"/>
      <c r="F32" s="17"/>
      <c r="G32" s="20"/>
      <c r="H32" s="26"/>
      <c r="I32" s="22"/>
      <c r="J32" s="22"/>
      <c r="K32" s="23"/>
      <c r="L32" s="27"/>
      <c r="M32" s="27"/>
      <c r="N32" s="27"/>
      <c r="O32" s="27"/>
      <c r="P32" s="27"/>
    </row>
    <row r="33" spans="1:16" ht="18.75" hidden="1" x14ac:dyDescent="0.25">
      <c r="A33" s="16"/>
      <c r="B33" s="17"/>
      <c r="C33" s="17"/>
      <c r="D33" s="17"/>
      <c r="E33" s="25"/>
      <c r="F33" s="17"/>
      <c r="G33" s="20"/>
      <c r="H33" s="26"/>
      <c r="I33" s="22"/>
      <c r="J33" s="22"/>
      <c r="K33" s="23"/>
      <c r="L33" s="27"/>
      <c r="M33" s="27"/>
      <c r="N33" s="27"/>
      <c r="O33" s="27"/>
      <c r="P33" s="27"/>
    </row>
    <row r="34" spans="1:16" ht="18.75" hidden="1" x14ac:dyDescent="0.25">
      <c r="A34" s="16"/>
      <c r="B34" s="17"/>
      <c r="C34" s="17"/>
      <c r="D34" s="28"/>
      <c r="E34" s="17"/>
      <c r="F34" s="17"/>
      <c r="G34" s="20"/>
      <c r="H34" s="26"/>
      <c r="I34" s="22"/>
      <c r="J34" s="22"/>
      <c r="K34" s="23"/>
      <c r="L34" s="27"/>
      <c r="M34" s="27"/>
      <c r="N34" s="27"/>
      <c r="O34" s="27"/>
      <c r="P34" s="27"/>
    </row>
    <row r="35" spans="1:16" ht="18.75" hidden="1" x14ac:dyDescent="0.25">
      <c r="A35" s="16"/>
      <c r="B35" s="17"/>
      <c r="C35" s="17"/>
      <c r="D35" s="17"/>
      <c r="E35" s="25"/>
      <c r="F35" s="17"/>
      <c r="G35" s="20"/>
      <c r="H35" s="26"/>
      <c r="I35" s="22"/>
      <c r="J35" s="22"/>
      <c r="K35" s="23"/>
      <c r="L35" s="27"/>
      <c r="M35" s="27"/>
      <c r="N35" s="27"/>
      <c r="O35" s="27"/>
      <c r="P35" s="27"/>
    </row>
    <row r="36" spans="1:16" ht="18.75" hidden="1" x14ac:dyDescent="0.25">
      <c r="A36" s="16"/>
      <c r="B36" s="17"/>
      <c r="C36" s="17"/>
      <c r="D36" s="17"/>
      <c r="E36" s="25"/>
      <c r="F36" s="17"/>
      <c r="G36" s="20"/>
      <c r="H36" s="26"/>
      <c r="I36" s="22"/>
      <c r="J36" s="22"/>
      <c r="K36" s="23"/>
      <c r="L36" s="27"/>
      <c r="M36" s="27"/>
      <c r="N36" s="27"/>
      <c r="O36" s="27"/>
      <c r="P36" s="27"/>
    </row>
    <row r="37" spans="1:16" ht="18.75" hidden="1" x14ac:dyDescent="0.25">
      <c r="A37" s="16"/>
      <c r="B37" s="17"/>
      <c r="C37" s="17"/>
      <c r="D37" s="28"/>
      <c r="E37" s="17"/>
      <c r="F37" s="17"/>
      <c r="G37" s="20"/>
      <c r="H37" s="26"/>
      <c r="I37" s="22"/>
      <c r="J37" s="22"/>
      <c r="K37" s="23"/>
      <c r="L37" s="27"/>
      <c r="M37" s="27"/>
      <c r="N37" s="27"/>
      <c r="O37" s="27"/>
      <c r="P37" s="27"/>
    </row>
    <row r="38" spans="1:16" ht="18.75" hidden="1" x14ac:dyDescent="0.25">
      <c r="A38" s="16"/>
      <c r="B38" s="17"/>
      <c r="C38" s="17"/>
      <c r="D38" s="17"/>
      <c r="E38" s="25"/>
      <c r="F38" s="17"/>
      <c r="G38" s="20"/>
      <c r="H38" s="26"/>
      <c r="I38" s="22"/>
      <c r="J38" s="22"/>
      <c r="K38" s="23"/>
      <c r="L38" s="27"/>
      <c r="M38" s="27"/>
      <c r="N38" s="27"/>
      <c r="O38" s="27"/>
      <c r="P38" s="27"/>
    </row>
    <row r="39" spans="1:16" ht="18.75" hidden="1" x14ac:dyDescent="0.25">
      <c r="A39" s="29"/>
      <c r="B39" s="30"/>
      <c r="C39" s="30"/>
      <c r="D39" s="30"/>
      <c r="E39" s="31"/>
      <c r="F39" s="30"/>
      <c r="G39" s="32"/>
      <c r="H39" s="33"/>
      <c r="I39" s="34"/>
      <c r="J39" s="34"/>
      <c r="K39" s="35"/>
      <c r="L39" s="36"/>
      <c r="M39" s="36"/>
      <c r="N39" s="36"/>
      <c r="O39" s="36"/>
      <c r="P39" s="36"/>
    </row>
    <row r="40" spans="1:16" ht="19.5" x14ac:dyDescent="0.3">
      <c r="A40" s="78" t="s">
        <v>23</v>
      </c>
      <c r="B40" s="79"/>
      <c r="C40" s="79"/>
      <c r="D40" s="79"/>
      <c r="E40" s="79"/>
      <c r="F40" s="79"/>
      <c r="G40" s="80"/>
      <c r="H40" s="80"/>
      <c r="I40" s="81"/>
      <c r="J40" s="81"/>
      <c r="K40" s="82"/>
      <c r="L40" s="83">
        <f t="shared" ref="L40:N40" ca="1" si="14">L44+L59+L72+L94+L125+L139+L157+L173+L186+L266+L282+L303+L320+L333+L356</f>
        <v>34570683</v>
      </c>
      <c r="M40" s="83">
        <f t="shared" ca="1" si="14"/>
        <v>28665369</v>
      </c>
      <c r="N40" s="83">
        <f t="shared" ca="1" si="14"/>
        <v>12910271.409999996</v>
      </c>
      <c r="O40" s="83">
        <f ca="1">IF(L40&gt;0,N40*100/L40,0)</f>
        <v>37.344565654083247</v>
      </c>
      <c r="P40" s="83">
        <f ca="1">IF(M40&gt;0,N40*100/M40,0)</f>
        <v>45.037869249127738</v>
      </c>
    </row>
    <row r="41" spans="1:16" ht="19.5" x14ac:dyDescent="0.3">
      <c r="A41" s="84" t="s">
        <v>24</v>
      </c>
      <c r="B41" s="85"/>
      <c r="C41" s="85"/>
      <c r="D41" s="85"/>
      <c r="E41" s="85"/>
      <c r="F41" s="85"/>
      <c r="G41" s="85"/>
      <c r="H41" s="85"/>
      <c r="I41" s="86"/>
      <c r="J41" s="86"/>
      <c r="K41" s="87"/>
      <c r="L41" s="87"/>
      <c r="M41" s="87"/>
      <c r="N41" s="87"/>
      <c r="O41" s="87"/>
      <c r="P41" s="88"/>
    </row>
    <row r="42" spans="1:16" ht="19.5" x14ac:dyDescent="0.3">
      <c r="A42" s="89"/>
      <c r="B42" s="90" t="s">
        <v>25</v>
      </c>
      <c r="C42" s="89"/>
      <c r="D42" s="89"/>
      <c r="E42" s="89"/>
      <c r="F42" s="89"/>
      <c r="G42" s="89"/>
      <c r="H42" s="91"/>
      <c r="I42" s="92"/>
      <c r="J42" s="92"/>
      <c r="K42" s="93"/>
      <c r="L42" s="93"/>
      <c r="M42" s="93"/>
      <c r="N42" s="93"/>
      <c r="O42" s="93"/>
      <c r="P42" s="93"/>
    </row>
    <row r="43" spans="1:16" ht="19.5" hidden="1" x14ac:dyDescent="0.3">
      <c r="A43" s="16"/>
      <c r="B43" s="17"/>
      <c r="C43" s="18"/>
      <c r="D43" s="19"/>
      <c r="E43" s="17"/>
      <c r="F43" s="17"/>
      <c r="G43" s="20"/>
      <c r="H43" s="21"/>
      <c r="I43" s="22"/>
      <c r="J43" s="22"/>
      <c r="K43" s="23"/>
      <c r="L43" s="24"/>
      <c r="M43" s="24"/>
      <c r="N43" s="24"/>
      <c r="O43" s="24"/>
      <c r="P43" s="24"/>
    </row>
    <row r="44" spans="1:16" ht="19.5" x14ac:dyDescent="0.3">
      <c r="A44" s="94"/>
      <c r="B44" s="95"/>
      <c r="C44" s="96" t="s">
        <v>16</v>
      </c>
      <c r="D44" s="97" t="s">
        <v>17</v>
      </c>
      <c r="E44" s="95"/>
      <c r="F44" s="95"/>
      <c r="G44" s="98"/>
      <c r="H44" s="99" t="s">
        <v>12</v>
      </c>
      <c r="I44" s="100"/>
      <c r="J44" s="100"/>
      <c r="K44" s="101"/>
      <c r="L44" s="102">
        <f t="shared" ref="L44:N44" ca="1" si="15">L45+L46</f>
        <v>5596748</v>
      </c>
      <c r="M44" s="102">
        <f t="shared" ca="1" si="15"/>
        <v>5714179</v>
      </c>
      <c r="N44" s="102">
        <f t="shared" ca="1" si="15"/>
        <v>2699427.33</v>
      </c>
      <c r="O44" s="102">
        <f t="shared" ref="O44:O55" ca="1" si="16">IF(L44&gt;0,N44*100/L44,0)</f>
        <v>48.232068515502213</v>
      </c>
      <c r="P44" s="102">
        <f t="shared" ref="P44:P55" ca="1" si="17">IF(M44&gt;0,N44*100/M44,0)</f>
        <v>47.2408604980698</v>
      </c>
    </row>
    <row r="45" spans="1:16" ht="18.75" x14ac:dyDescent="0.25">
      <c r="A45" s="94"/>
      <c r="B45" s="95"/>
      <c r="C45" s="95"/>
      <c r="D45" s="95"/>
      <c r="E45" s="103" t="s">
        <v>18</v>
      </c>
      <c r="F45" s="95"/>
      <c r="G45" s="98"/>
      <c r="H45" s="104" t="s">
        <v>12</v>
      </c>
      <c r="I45" s="100"/>
      <c r="J45" s="100"/>
      <c r="K45" s="101"/>
      <c r="L45" s="105">
        <f t="shared" ref="L45:N45" ca="1" si="18">L48+L51+L54</f>
        <v>0</v>
      </c>
      <c r="M45" s="105">
        <f t="shared" ca="1" si="18"/>
        <v>0</v>
      </c>
      <c r="N45" s="105">
        <f t="shared" ca="1" si="18"/>
        <v>0</v>
      </c>
      <c r="O45" s="105">
        <f t="shared" ca="1" si="16"/>
        <v>0</v>
      </c>
      <c r="P45" s="105">
        <f t="shared" ca="1" si="17"/>
        <v>0</v>
      </c>
    </row>
    <row r="46" spans="1:16" ht="18.75" x14ac:dyDescent="0.25">
      <c r="A46" s="94"/>
      <c r="B46" s="95"/>
      <c r="C46" s="95"/>
      <c r="D46" s="95"/>
      <c r="E46" s="103" t="s">
        <v>19</v>
      </c>
      <c r="F46" s="95"/>
      <c r="G46" s="98"/>
      <c r="H46" s="104" t="s">
        <v>12</v>
      </c>
      <c r="I46" s="100"/>
      <c r="J46" s="100"/>
      <c r="K46" s="101"/>
      <c r="L46" s="105">
        <f t="shared" ref="L46:N46" ca="1" si="19">L49+L52+L55</f>
        <v>5596748</v>
      </c>
      <c r="M46" s="105">
        <f t="shared" ca="1" si="19"/>
        <v>5714179</v>
      </c>
      <c r="N46" s="105">
        <f t="shared" ca="1" si="19"/>
        <v>2699427.33</v>
      </c>
      <c r="O46" s="105">
        <f t="shared" ca="1" si="16"/>
        <v>48.232068515502213</v>
      </c>
      <c r="P46" s="105">
        <f t="shared" ca="1" si="17"/>
        <v>47.2408604980698</v>
      </c>
    </row>
    <row r="47" spans="1:16" ht="18.75" x14ac:dyDescent="0.25">
      <c r="A47" s="52"/>
      <c r="B47" s="53"/>
      <c r="C47" s="53"/>
      <c r="D47" s="54" t="s">
        <v>20</v>
      </c>
      <c r="E47" s="53"/>
      <c r="F47" s="53"/>
      <c r="G47" s="55"/>
      <c r="H47" s="56" t="s">
        <v>12</v>
      </c>
      <c r="I47" s="57"/>
      <c r="J47" s="57"/>
      <c r="K47" s="58"/>
      <c r="L47" s="59">
        <f t="shared" ref="L47:N47" ca="1" si="20">L48+L49</f>
        <v>5596748</v>
      </c>
      <c r="M47" s="59">
        <f t="shared" ca="1" si="20"/>
        <v>5714179</v>
      </c>
      <c r="N47" s="59">
        <f t="shared" ca="1" si="20"/>
        <v>2699427.33</v>
      </c>
      <c r="O47" s="59">
        <f t="shared" ca="1" si="16"/>
        <v>48.232068515502213</v>
      </c>
      <c r="P47" s="59">
        <f t="shared" ca="1" si="17"/>
        <v>47.2408604980698</v>
      </c>
    </row>
    <row r="48" spans="1:16" ht="18.75" x14ac:dyDescent="0.25">
      <c r="A48" s="52"/>
      <c r="B48" s="53"/>
      <c r="C48" s="53"/>
      <c r="D48" s="53"/>
      <c r="E48" s="60" t="s">
        <v>18</v>
      </c>
      <c r="F48" s="53"/>
      <c r="G48" s="55"/>
      <c r="H48" s="56" t="s">
        <v>12</v>
      </c>
      <c r="I48" s="57"/>
      <c r="J48" s="57"/>
      <c r="K48" s="58"/>
      <c r="L48" s="59">
        <f ca="1">IFERROR(__xludf.DUMMYFUNCTION("IMPORTRANGE(""https://docs.google.com/spreadsheets/d/13wPX838HrBrQMCywv1BsuMkt4PEKTChp52zj44s2izQ/edit?usp=sharing"",""กาญจนบุรี!L48"")+IMPORTRANGE(""https://docs.google.com/spreadsheets/d/1ddFKvqj1W1NEiWytbGlB1zMx_ykJDVtmfEQ-6-lIUBA/edit?usp=sharing"","""&amp;"จันทบุรี!L48"")+IMPORTRANGE(""https://docs.google.com/spreadsheets/d/1T1PQvRODqOBZk8BRht_U031fIS1beLA0Ub2CEytj2q0/edit?usp=sharing"",""ฉะเชิงเทรา!L48"")+IMPORTRANGE(""https://docs.google.com/spreadsheets/d/11tr1B-Bhyr79v2bkwVh5h_fR-PStkgjlZtkrZpYurG0/edit"&amp;"?usp=sharing"",""ชลบุรี!L48"")+IMPORTRANGE(""https://docs.google.com/spreadsheets/d/1hh-FVnSX0vozXhGluamEcS54Dw9_zqW0N7qJUWgJ0Sw/edit?usp=sharing"",""ชัยนาท!L48"")+IMPORTRANGE(""https://docs.google.com/spreadsheets/d/1jkqa6GXxSacMcY1eN8AHjMNJ_7dDXMJVRLDla"&amp;"FSOdPM/edit?usp=sharing"",""ตราด!L48"")+IMPORTRANGE(""https://docs.google.com/spreadsheets/d/18hSgUJ3VwClqi_qtULmmW3cLr0oe3OKaSYoKzdpTsYQ/edit?usp=sharing"",""นครนายก!L48"")+IMPORTRANGE(""https://docs.google.com/spreadsheets/d/1YTZo6WM2dQ6Ix6FSdnL5P7uVnVK"&amp;"u40sxZu975tgG10E/edit?usp=sharing"",""นครปฐม!L48"")+IMPORTRANGE(""https://docs.google.com/spreadsheets/d/1OYoGg4WDg5RIzwGeB10padOxJF9E_Vljuvvct_M7RDo/edit?usp=sharing"",""ปทุมธานี!L48"")+IMPORTRANGE(""https://docs.google.com/spreadsheets/d/1GbCIE4D4wk9FUo"&amp;"zzqk7SxfDMxDVBwVmI5zcaVUSzKAc/edit?usp=sharing"",""ประจวบคีรีขันธ์!L48"")+IMPORTRANGE(""https://docs.google.com/spreadsheets/d/1vVf6wykvW_lAyu7Yo9L4hUTqHqIeP_qcVuxCtosJEbg/edit?usp=sharing"",""ปราจีนบุรี!L48"")+IMPORTRANGE(""https://docs.google.com/spread"&amp;"sheets/d/1BIDqLLg5jk3v59G8NlR8rk5xfQDKne0sAvZHSj7TI6I/edit?usp=sharing"",""พระนครศรีอยุธยา!L48"")+IMPORTRANGE(""https://docs.google.com/spreadsheets/d/1YXvxf8Yu6_rV4hTBrwMqAcAnv6DfhUxh5emyM3CJp_w/edit?usp=sharing"",""เพชรบุรี!L48"")+IMPORTRANGE(""https://"&amp;"docs.google.com/spreadsheets/d/19KBlQQs7uwvsao6t2n-KvW3Ax8J8uRRfZPq1zPbXgKc/edit?usp=sharing"",""ระยอง!L48"")+IMPORTRANGE(""https://docs.google.com/spreadsheets/d/1jQ6P4QcrGM89YfqcC_PxOHGCMq5ezhucwJd8ci-NHng/edit?usp=sharing"",""ราชบุรี!L48"")+IMPORTRANGE"&amp;"(""https://docs.google.com/spreadsheets/d/1lufeA2cfFqM-elVq2hznhDzC6Pr7wkJ9ZG_sYNGCMCU/edit?usp=sharing"",""ลพบุรี!L48"")+IMPORTRANGE(""https://docs.google.com/spreadsheets/d/10oOiF7loTyfsTkbd4MpaIm0HQ9SwB7IYHdIUvt-U1Uc/edit?usp=sharing"",""สระแก้ว!L48"")"&amp;"+IMPORTRANGE(""https://docs.google.com/spreadsheets/d/1xmPlrr1QbdSIKvl1dWUl9K4PjAfSL9oeMr_37QVzcxc/edit?usp=sharing"",""สระบุรี!L48"")+IMPORTRANGE(""https://docs.google.com/spreadsheets/d/1j51vR6CYVGhABJpv6tkstgok82RLpXieLzW1yOY5rHw/edit?usp=sharing"",""ส"&amp;"ิงห์บุรี!L48"")+IMPORTRANGE(""https://docs.google.com/spreadsheets/d/1H1EalTWKUSzO4Z1-1CwzoDUaVffgrThEBe2sl74kKG0/edit?usp=sharing"",""สุพรรณบุรี!L48"")+IMPORTRANGE(""https://docs.google.com/spreadsheets/d/1BmIruG_sIrJLYao_Pdr7zVArWsfoBt2692TMi6x_854/edit"&amp;"?usp=sharing"",""อ่างทอง!L48"")"),0)</f>
        <v>0</v>
      </c>
      <c r="M48" s="59">
        <f ca="1">IFERROR(__xludf.DUMMYFUNCTION("IMPORTRANGE(""https://docs.google.com/spreadsheets/d/13wPX838HrBrQMCywv1BsuMkt4PEKTChp52zj44s2izQ/edit?usp=sharing"",""กาญจนบุรี!M48"")+IMPORTRANGE(""https://docs.google.com/spreadsheets/d/1ddFKvqj1W1NEiWytbGlB1zMx_ykJDVtmfEQ-6-lIUBA/edit?usp=sharing"","""&amp;"จันทบุรี!M48"")+IMPORTRANGE(""https://docs.google.com/spreadsheets/d/1T1PQvRODqOBZk8BRht_U031fIS1beLA0Ub2CEytj2q0/edit?usp=sharing"",""ฉะเชิงเทรา!M48"")+IMPORTRANGE(""https://docs.google.com/spreadsheets/d/11tr1B-Bhyr79v2bkwVh5h_fR-PStkgjlZtkrZpYurG0/edit"&amp;"?usp=sharing"",""ชลบุรี!M48"")+IMPORTRANGE(""https://docs.google.com/spreadsheets/d/1hh-FVnSX0vozXhGluamEcS54Dw9_zqW0N7qJUWgJ0Sw/edit?usp=sharing"",""ชัยนาท!M48"")+IMPORTRANGE(""https://docs.google.com/spreadsheets/d/1jkqa6GXxSacMcY1eN8AHjMNJ_7dDXMJVRLDla"&amp;"FSOdPM/edit?usp=sharing"",""ตราด!M48"")+IMPORTRANGE(""https://docs.google.com/spreadsheets/d/18hSgUJ3VwClqi_qtULmmW3cLr0oe3OKaSYoKzdpTsYQ/edit?usp=sharing"",""นครนายก!M48"")+IMPORTRANGE(""https://docs.google.com/spreadsheets/d/1YTZo6WM2dQ6Ix6FSdnL5P7uVnVK"&amp;"u40sxZu975tgG10E/edit?usp=sharing"",""นครปฐม!M48"")+IMPORTRANGE(""https://docs.google.com/spreadsheets/d/1OYoGg4WDg5RIzwGeB10padOxJF9E_Vljuvvct_M7RDo/edit?usp=sharing"",""ปทุมธานี!M48"")+IMPORTRANGE(""https://docs.google.com/spreadsheets/d/1GbCIE4D4wk9FUo"&amp;"zzqk7SxfDMxDVBwVmI5zcaVUSzKAc/edit?usp=sharing"",""ประจวบคีรีขันธ์!M48"")+IMPORTRANGE(""https://docs.google.com/spreadsheets/d/1vVf6wykvW_lAyu7Yo9L4hUTqHqIeP_qcVuxCtosJEbg/edit?usp=sharing"",""ปราจีนบุรี!M48"")+IMPORTRANGE(""https://docs.google.com/spread"&amp;"sheets/d/1BIDqLLg5jk3v59G8NlR8rk5xfQDKne0sAvZHSj7TI6I/edit?usp=sharing"",""พระนครศรีอยุธยา!M48"")+IMPORTRANGE(""https://docs.google.com/spreadsheets/d/1YXvxf8Yu6_rV4hTBrwMqAcAnv6DfhUxh5emyM3CJp_w/edit?usp=sharing"",""เพชรบุรี!M48"")+IMPORTRANGE(""https://"&amp;"docs.google.com/spreadsheets/d/19KBlQQs7uwvsao6t2n-KvW3Ax8J8uRRfZPq1zPbXgKc/edit?usp=sharing"",""ระยอง!M48"")+IMPORTRANGE(""https://docs.google.com/spreadsheets/d/1jQ6P4QcrGM89YfqcC_PxOHGCMq5ezhucwJd8ci-NHng/edit?usp=sharing"",""ราชบุรี!M48"")+IMPORTRANGE"&amp;"(""https://docs.google.com/spreadsheets/d/1lufeA2cfFqM-elVq2hznhDzC6Pr7wkJ9ZG_sYNGCMCU/edit?usp=sharing"",""ลพบุรี!M48"")+IMPORTRANGE(""https://docs.google.com/spreadsheets/d/10oOiF7loTyfsTkbd4MpaIm0HQ9SwB7IYHdIUvt-U1Uc/edit?usp=sharing"",""สระแก้ว!M48"")"&amp;"+IMPORTRANGE(""https://docs.google.com/spreadsheets/d/1xmPlrr1QbdSIKvl1dWUl9K4PjAfSL9oeMr_37QVzcxc/edit?usp=sharing"",""สระบุรี!M48"")+IMPORTRANGE(""https://docs.google.com/spreadsheets/d/1j51vR6CYVGhABJpv6tkstgok82RLpXieLzW1yOY5rHw/edit?usp=sharing"",""ส"&amp;"ิงห์บุรี!M48"")+IMPORTRANGE(""https://docs.google.com/spreadsheets/d/1H1EalTWKUSzO4Z1-1CwzoDUaVffgrThEBe2sl74kKG0/edit?usp=sharing"",""สุพรรณบุรี!M48"")+IMPORTRANGE(""https://docs.google.com/spreadsheets/d/1BmIruG_sIrJLYao_Pdr7zVArWsfoBt2692TMi6x_854/edit"&amp;"?usp=sharing"",""อ่างทอง!M48"")"),0)</f>
        <v>0</v>
      </c>
      <c r="N48" s="59">
        <f ca="1">IFERROR(__xludf.DUMMYFUNCTION("IMPORTRANGE(""https://docs.google.com/spreadsheets/d/13wPX838HrBrQMCywv1BsuMkt4PEKTChp52zj44s2izQ/edit?usp=sharing"",""กาญจนบุรี!N48"")+IMPORTRANGE(""https://docs.google.com/spreadsheets/d/1ddFKvqj1W1NEiWytbGlB1zMx_ykJDVtmfEQ-6-lIUBA/edit?usp=sharing"","""&amp;"จันทบุรี!N48"")+IMPORTRANGE(""https://docs.google.com/spreadsheets/d/1T1PQvRODqOBZk8BRht_U031fIS1beLA0Ub2CEytj2q0/edit?usp=sharing"",""ฉะเชิงเทรา!N48"")+IMPORTRANGE(""https://docs.google.com/spreadsheets/d/11tr1B-Bhyr79v2bkwVh5h_fR-PStkgjlZtkrZpYurG0/edit"&amp;"?usp=sharing"",""ชลบุรี!N48"")+IMPORTRANGE(""https://docs.google.com/spreadsheets/d/1hh-FVnSX0vozXhGluamEcS54Dw9_zqW0N7qJUWgJ0Sw/edit?usp=sharing"",""ชัยนาท!N48"")+IMPORTRANGE(""https://docs.google.com/spreadsheets/d/1jkqa6GXxSacMcY1eN8AHjMNJ_7dDXMJVRLDla"&amp;"FSOdPM/edit?usp=sharing"",""ตราด!N48"")+IMPORTRANGE(""https://docs.google.com/spreadsheets/d/18hSgUJ3VwClqi_qtULmmW3cLr0oe3OKaSYoKzdpTsYQ/edit?usp=sharing"",""นครนายก!N48"")+IMPORTRANGE(""https://docs.google.com/spreadsheets/d/1YTZo6WM2dQ6Ix6FSdnL5P7uVnVK"&amp;"u40sxZu975tgG10E/edit?usp=sharing"",""นครปฐม!N48"")+IMPORTRANGE(""https://docs.google.com/spreadsheets/d/1OYoGg4WDg5RIzwGeB10padOxJF9E_Vljuvvct_M7RDo/edit?usp=sharing"",""ปทุมธานี!N48"")+IMPORTRANGE(""https://docs.google.com/spreadsheets/d/1GbCIE4D4wk9FUo"&amp;"zzqk7SxfDMxDVBwVmI5zcaVUSzKAc/edit?usp=sharing"",""ประจวบคีรีขันธ์!N48"")+IMPORTRANGE(""https://docs.google.com/spreadsheets/d/1vVf6wykvW_lAyu7Yo9L4hUTqHqIeP_qcVuxCtosJEbg/edit?usp=sharing"",""ปราจีนบุรี!N48"")+IMPORTRANGE(""https://docs.google.com/spread"&amp;"sheets/d/1BIDqLLg5jk3v59G8NlR8rk5xfQDKne0sAvZHSj7TI6I/edit?usp=sharing"",""พระนครศรีอยุธยา!N48"")+IMPORTRANGE(""https://docs.google.com/spreadsheets/d/1YXvxf8Yu6_rV4hTBrwMqAcAnv6DfhUxh5emyM3CJp_w/edit?usp=sharing"",""เพชรบุรี!N48"")+IMPORTRANGE(""https://"&amp;"docs.google.com/spreadsheets/d/19KBlQQs7uwvsao6t2n-KvW3Ax8J8uRRfZPq1zPbXgKc/edit?usp=sharing"",""ระยอง!N48"")+IMPORTRANGE(""https://docs.google.com/spreadsheets/d/1jQ6P4QcrGM89YfqcC_PxOHGCMq5ezhucwJd8ci-NHng/edit?usp=sharing"",""ราชบุรี!N48"")+IMPORTRANGE"&amp;"(""https://docs.google.com/spreadsheets/d/1lufeA2cfFqM-elVq2hznhDzC6Pr7wkJ9ZG_sYNGCMCU/edit?usp=sharing"",""ลพบุรี!N48"")+IMPORTRANGE(""https://docs.google.com/spreadsheets/d/10oOiF7loTyfsTkbd4MpaIm0HQ9SwB7IYHdIUvt-U1Uc/edit?usp=sharing"",""สระแก้ว!N48"")"&amp;"+IMPORTRANGE(""https://docs.google.com/spreadsheets/d/1xmPlrr1QbdSIKvl1dWUl9K4PjAfSL9oeMr_37QVzcxc/edit?usp=sharing"",""สระบุรี!N48"")+IMPORTRANGE(""https://docs.google.com/spreadsheets/d/1j51vR6CYVGhABJpv6tkstgok82RLpXieLzW1yOY5rHw/edit?usp=sharing"",""ส"&amp;"ิงห์บุรี!N48"")+IMPORTRANGE(""https://docs.google.com/spreadsheets/d/1H1EalTWKUSzO4Z1-1CwzoDUaVffgrThEBe2sl74kKG0/edit?usp=sharing"",""สุพรรณบุรี!N48"")+IMPORTRANGE(""https://docs.google.com/spreadsheets/d/1BmIruG_sIrJLYao_Pdr7zVArWsfoBt2692TMi6x_854/edit"&amp;"?usp=sharing"",""อ่างทอง!N48"")"),0)</f>
        <v>0</v>
      </c>
      <c r="O48" s="59">
        <f t="shared" ca="1" si="16"/>
        <v>0</v>
      </c>
      <c r="P48" s="59">
        <f t="shared" ca="1" si="17"/>
        <v>0</v>
      </c>
    </row>
    <row r="49" spans="1:16" ht="18.75" x14ac:dyDescent="0.25">
      <c r="A49" s="52"/>
      <c r="B49" s="53"/>
      <c r="C49" s="53"/>
      <c r="D49" s="53"/>
      <c r="E49" s="60" t="s">
        <v>19</v>
      </c>
      <c r="F49" s="53"/>
      <c r="G49" s="55"/>
      <c r="H49" s="56" t="s">
        <v>12</v>
      </c>
      <c r="I49" s="57"/>
      <c r="J49" s="57"/>
      <c r="K49" s="58"/>
      <c r="L49" s="59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5596748)</f>
        <v>5596748</v>
      </c>
      <c r="M49" s="59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5714179)</f>
        <v>5714179</v>
      </c>
      <c r="N49" s="59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2699427.33)</f>
        <v>2699427.33</v>
      </c>
      <c r="O49" s="59">
        <f t="shared" ca="1" si="16"/>
        <v>48.232068515502213</v>
      </c>
      <c r="P49" s="59">
        <f t="shared" ca="1" si="17"/>
        <v>47.2408604980698</v>
      </c>
    </row>
    <row r="50" spans="1:16" ht="18.75" x14ac:dyDescent="0.25">
      <c r="A50" s="52"/>
      <c r="B50" s="53"/>
      <c r="C50" s="53"/>
      <c r="D50" s="106" t="s">
        <v>21</v>
      </c>
      <c r="E50" s="53"/>
      <c r="F50" s="53"/>
      <c r="G50" s="55"/>
      <c r="H50" s="56" t="s">
        <v>12</v>
      </c>
      <c r="I50" s="57"/>
      <c r="J50" s="57"/>
      <c r="K50" s="58"/>
      <c r="L50" s="59">
        <f t="shared" ref="L50:N50" ca="1" si="21">L51+L52</f>
        <v>0</v>
      </c>
      <c r="M50" s="59">
        <f t="shared" ca="1" si="21"/>
        <v>0</v>
      </c>
      <c r="N50" s="59">
        <f t="shared" ca="1" si="21"/>
        <v>0</v>
      </c>
      <c r="O50" s="59">
        <f t="shared" ca="1" si="16"/>
        <v>0</v>
      </c>
      <c r="P50" s="59">
        <f t="shared" ca="1" si="17"/>
        <v>0</v>
      </c>
    </row>
    <row r="51" spans="1:16" ht="18.75" x14ac:dyDescent="0.25">
      <c r="A51" s="52"/>
      <c r="B51" s="53"/>
      <c r="C51" s="53"/>
      <c r="D51" s="53"/>
      <c r="E51" s="60" t="s">
        <v>18</v>
      </c>
      <c r="F51" s="53"/>
      <c r="G51" s="55"/>
      <c r="H51" s="56" t="s">
        <v>12</v>
      </c>
      <c r="I51" s="57"/>
      <c r="J51" s="57"/>
      <c r="K51" s="58"/>
      <c r="L51" s="59">
        <f ca="1">IFERROR(__xludf.DUMMYFUNCTION("IMPORTRANGE(""https://docs.google.com/spreadsheets/d/13wPX838HrBrQMCywv1BsuMkt4PEKTChp52zj44s2izQ/edit?usp=sharing"",""กาญจนบุรี!L51"")+IMPORTRANGE(""https://docs.google.com/spreadsheets/d/1ddFKvqj1W1NEiWytbGlB1zMx_ykJDVtmfEQ-6-lIUBA/edit?usp=sharing"","""&amp;"จันทบุรี!L51"")+IMPORTRANGE(""https://docs.google.com/spreadsheets/d/1T1PQvRODqOBZk8BRht_U031fIS1beLA0Ub2CEytj2q0/edit?usp=sharing"",""ฉะเชิงเทรา!L51"")+IMPORTRANGE(""https://docs.google.com/spreadsheets/d/11tr1B-Bhyr79v2bkwVh5h_fR-PStkgjlZtkrZpYurG0/edit"&amp;"?usp=sharing"",""ชลบุรี!L51"")+IMPORTRANGE(""https://docs.google.com/spreadsheets/d/1hh-FVnSX0vozXhGluamEcS54Dw9_zqW0N7qJUWgJ0Sw/edit?usp=sharing"",""ชัยนาท!L51"")+IMPORTRANGE(""https://docs.google.com/spreadsheets/d/1jkqa6GXxSacMcY1eN8AHjMNJ_7dDXMJVRLDla"&amp;"FSOdPM/edit?usp=sharing"",""ตราด!L51"")+IMPORTRANGE(""https://docs.google.com/spreadsheets/d/18hSgUJ3VwClqi_qtULmmW3cLr0oe3OKaSYoKzdpTsYQ/edit?usp=sharing"",""นครนายก!L51"")+IMPORTRANGE(""https://docs.google.com/spreadsheets/d/1YTZo6WM2dQ6Ix6FSdnL5P7uVnVK"&amp;"u40sxZu975tgG10E/edit?usp=sharing"",""นครปฐม!L51"")+IMPORTRANGE(""https://docs.google.com/spreadsheets/d/1OYoGg4WDg5RIzwGeB10padOxJF9E_Vljuvvct_M7RDo/edit?usp=sharing"",""ปทุมธานี!L51"")+IMPORTRANGE(""https://docs.google.com/spreadsheets/d/1GbCIE4D4wk9FUo"&amp;"zzqk7SxfDMxDVBwVmI5zcaVUSzKAc/edit?usp=sharing"",""ประจวบคีรีขันธ์!L51"")+IMPORTRANGE(""https://docs.google.com/spreadsheets/d/1vVf6wykvW_lAyu7Yo9L4hUTqHqIeP_qcVuxCtosJEbg/edit?usp=sharing"",""ปราจีนบุรี!L51"")+IMPORTRANGE(""https://docs.google.com/spread"&amp;"sheets/d/1BIDqLLg5jk3v59G8NlR8rk5xfQDKne0sAvZHSj7TI6I/edit?usp=sharing"",""พระนครศรีอยุธยา!L51"")+IMPORTRANGE(""https://docs.google.com/spreadsheets/d/1YXvxf8Yu6_rV4hTBrwMqAcAnv6DfhUxh5emyM3CJp_w/edit?usp=sharing"",""เพชรบุรี!L51"")+IMPORTRANGE(""https://"&amp;"docs.google.com/spreadsheets/d/19KBlQQs7uwvsao6t2n-KvW3Ax8J8uRRfZPq1zPbXgKc/edit?usp=sharing"",""ระยอง!L51"")+IMPORTRANGE(""https://docs.google.com/spreadsheets/d/1jQ6P4QcrGM89YfqcC_PxOHGCMq5ezhucwJd8ci-NHng/edit?usp=sharing"",""ราชบุรี!L51"")+IMPORTRANGE"&amp;"(""https://docs.google.com/spreadsheets/d/1lufeA2cfFqM-elVq2hznhDzC6Pr7wkJ9ZG_sYNGCMCU/edit?usp=sharing"",""ลพบุรี!L51"")+IMPORTRANGE(""https://docs.google.com/spreadsheets/d/10oOiF7loTyfsTkbd4MpaIm0HQ9SwB7IYHdIUvt-U1Uc/edit?usp=sharing"",""สระแก้ว!L51"")"&amp;"+IMPORTRANGE(""https://docs.google.com/spreadsheets/d/1xmPlrr1QbdSIKvl1dWUl9K4PjAfSL9oeMr_37QVzcxc/edit?usp=sharing"",""สระบุรี!L51"")+IMPORTRANGE(""https://docs.google.com/spreadsheets/d/1j51vR6CYVGhABJpv6tkstgok82RLpXieLzW1yOY5rHw/edit?usp=sharing"",""ส"&amp;"ิงห์บุรี!L51"")+IMPORTRANGE(""https://docs.google.com/spreadsheets/d/1H1EalTWKUSzO4Z1-1CwzoDUaVffgrThEBe2sl74kKG0/edit?usp=sharing"",""สุพรรณบุรี!L51"")+IMPORTRANGE(""https://docs.google.com/spreadsheets/d/1BmIruG_sIrJLYao_Pdr7zVArWsfoBt2692TMi6x_854/edit"&amp;"?usp=sharing"",""อ่างทอง!L51"")"),0)</f>
        <v>0</v>
      </c>
      <c r="M51" s="59">
        <f ca="1">IFERROR(__xludf.DUMMYFUNCTION("IMPORTRANGE(""https://docs.google.com/spreadsheets/d/13wPX838HrBrQMCywv1BsuMkt4PEKTChp52zj44s2izQ/edit?usp=sharing"",""กาญจนบุรี!M51"")+IMPORTRANGE(""https://docs.google.com/spreadsheets/d/1ddFKvqj1W1NEiWytbGlB1zMx_ykJDVtmfEQ-6-lIUBA/edit?usp=sharing"","""&amp;"จันทบุรี!M51"")+IMPORTRANGE(""https://docs.google.com/spreadsheets/d/1T1PQvRODqOBZk8BRht_U031fIS1beLA0Ub2CEytj2q0/edit?usp=sharing"",""ฉะเชิงเทรา!M51"")+IMPORTRANGE(""https://docs.google.com/spreadsheets/d/11tr1B-Bhyr79v2bkwVh5h_fR-PStkgjlZtkrZpYurG0/edit"&amp;"?usp=sharing"",""ชลบุรี!M51"")+IMPORTRANGE(""https://docs.google.com/spreadsheets/d/1hh-FVnSX0vozXhGluamEcS54Dw9_zqW0N7qJUWgJ0Sw/edit?usp=sharing"",""ชัยนาท!M51"")+IMPORTRANGE(""https://docs.google.com/spreadsheets/d/1jkqa6GXxSacMcY1eN8AHjMNJ_7dDXMJVRLDla"&amp;"FSOdPM/edit?usp=sharing"",""ตราด!M51"")+IMPORTRANGE(""https://docs.google.com/spreadsheets/d/18hSgUJ3VwClqi_qtULmmW3cLr0oe3OKaSYoKzdpTsYQ/edit?usp=sharing"",""นครนายก!M51"")+IMPORTRANGE(""https://docs.google.com/spreadsheets/d/1YTZo6WM2dQ6Ix6FSdnL5P7uVnVK"&amp;"u40sxZu975tgG10E/edit?usp=sharing"",""นครปฐม!M51"")+IMPORTRANGE(""https://docs.google.com/spreadsheets/d/1OYoGg4WDg5RIzwGeB10padOxJF9E_Vljuvvct_M7RDo/edit?usp=sharing"",""ปทุมธานี!M51"")+IMPORTRANGE(""https://docs.google.com/spreadsheets/d/1GbCIE4D4wk9FUo"&amp;"zzqk7SxfDMxDVBwVmI5zcaVUSzKAc/edit?usp=sharing"",""ประจวบคีรีขันธ์!M51"")+IMPORTRANGE(""https://docs.google.com/spreadsheets/d/1vVf6wykvW_lAyu7Yo9L4hUTqHqIeP_qcVuxCtosJEbg/edit?usp=sharing"",""ปราจีนบุรี!M51"")+IMPORTRANGE(""https://docs.google.com/spread"&amp;"sheets/d/1BIDqLLg5jk3v59G8NlR8rk5xfQDKne0sAvZHSj7TI6I/edit?usp=sharing"",""พระนครศรีอยุธยา!M51"")+IMPORTRANGE(""https://docs.google.com/spreadsheets/d/1YXvxf8Yu6_rV4hTBrwMqAcAnv6DfhUxh5emyM3CJp_w/edit?usp=sharing"",""เพชรบุรี!M51"")+IMPORTRANGE(""https://"&amp;"docs.google.com/spreadsheets/d/19KBlQQs7uwvsao6t2n-KvW3Ax8J8uRRfZPq1zPbXgKc/edit?usp=sharing"",""ระยอง!M51"")+IMPORTRANGE(""https://docs.google.com/spreadsheets/d/1jQ6P4QcrGM89YfqcC_PxOHGCMq5ezhucwJd8ci-NHng/edit?usp=sharing"",""ราชบุรี!M51"")+IMPORTRANGE"&amp;"(""https://docs.google.com/spreadsheets/d/1lufeA2cfFqM-elVq2hznhDzC6Pr7wkJ9ZG_sYNGCMCU/edit?usp=sharing"",""ลพบุรี!M51"")+IMPORTRANGE(""https://docs.google.com/spreadsheets/d/10oOiF7loTyfsTkbd4MpaIm0HQ9SwB7IYHdIUvt-U1Uc/edit?usp=sharing"",""สระแก้ว!M51"")"&amp;"+IMPORTRANGE(""https://docs.google.com/spreadsheets/d/1xmPlrr1QbdSIKvl1dWUl9K4PjAfSL9oeMr_37QVzcxc/edit?usp=sharing"",""สระบุรี!M51"")+IMPORTRANGE(""https://docs.google.com/spreadsheets/d/1j51vR6CYVGhABJpv6tkstgok82RLpXieLzW1yOY5rHw/edit?usp=sharing"",""ส"&amp;"ิงห์บุรี!M51"")+IMPORTRANGE(""https://docs.google.com/spreadsheets/d/1H1EalTWKUSzO4Z1-1CwzoDUaVffgrThEBe2sl74kKG0/edit?usp=sharing"",""สุพรรณบุรี!M51"")+IMPORTRANGE(""https://docs.google.com/spreadsheets/d/1BmIruG_sIrJLYao_Pdr7zVArWsfoBt2692TMi6x_854/edit"&amp;"?usp=sharing"",""อ่างทอง!M51"")"),0)</f>
        <v>0</v>
      </c>
      <c r="N51" s="59">
        <f ca="1">IFERROR(__xludf.DUMMYFUNCTION("IMPORTRANGE(""https://docs.google.com/spreadsheets/d/13wPX838HrBrQMCywv1BsuMkt4PEKTChp52zj44s2izQ/edit?usp=sharing"",""กาญจนบุรี!N51"")+IMPORTRANGE(""https://docs.google.com/spreadsheets/d/1ddFKvqj1W1NEiWytbGlB1zMx_ykJDVtmfEQ-6-lIUBA/edit?usp=sharing"","""&amp;"จันทบุรี!N51"")+IMPORTRANGE(""https://docs.google.com/spreadsheets/d/1T1PQvRODqOBZk8BRht_U031fIS1beLA0Ub2CEytj2q0/edit?usp=sharing"",""ฉะเชิงเทรา!N51"")+IMPORTRANGE(""https://docs.google.com/spreadsheets/d/11tr1B-Bhyr79v2bkwVh5h_fR-PStkgjlZtkrZpYurG0/edit"&amp;"?usp=sharing"",""ชลบุรี!N51"")+IMPORTRANGE(""https://docs.google.com/spreadsheets/d/1hh-FVnSX0vozXhGluamEcS54Dw9_zqW0N7qJUWgJ0Sw/edit?usp=sharing"",""ชัยนาท!N51"")+IMPORTRANGE(""https://docs.google.com/spreadsheets/d/1jkqa6GXxSacMcY1eN8AHjMNJ_7dDXMJVRLDla"&amp;"FSOdPM/edit?usp=sharing"",""ตราด!N51"")+IMPORTRANGE(""https://docs.google.com/spreadsheets/d/18hSgUJ3VwClqi_qtULmmW3cLr0oe3OKaSYoKzdpTsYQ/edit?usp=sharing"",""นครนายก!N51"")+IMPORTRANGE(""https://docs.google.com/spreadsheets/d/1YTZo6WM2dQ6Ix6FSdnL5P7uVnVK"&amp;"u40sxZu975tgG10E/edit?usp=sharing"",""นครปฐม!N51"")+IMPORTRANGE(""https://docs.google.com/spreadsheets/d/1OYoGg4WDg5RIzwGeB10padOxJF9E_Vljuvvct_M7RDo/edit?usp=sharing"",""ปทุมธานี!N51"")+IMPORTRANGE(""https://docs.google.com/spreadsheets/d/1GbCIE4D4wk9FUo"&amp;"zzqk7SxfDMxDVBwVmI5zcaVUSzKAc/edit?usp=sharing"",""ประจวบคีรีขันธ์!N51"")+IMPORTRANGE(""https://docs.google.com/spreadsheets/d/1vVf6wykvW_lAyu7Yo9L4hUTqHqIeP_qcVuxCtosJEbg/edit?usp=sharing"",""ปราจีนบุรี!N51"")+IMPORTRANGE(""https://docs.google.com/spread"&amp;"sheets/d/1BIDqLLg5jk3v59G8NlR8rk5xfQDKne0sAvZHSj7TI6I/edit?usp=sharing"",""พระนครศรีอยุธยา!N51"")+IMPORTRANGE(""https://docs.google.com/spreadsheets/d/1YXvxf8Yu6_rV4hTBrwMqAcAnv6DfhUxh5emyM3CJp_w/edit?usp=sharing"",""เพชรบุรี!N51"")+IMPORTRANGE(""https://"&amp;"docs.google.com/spreadsheets/d/19KBlQQs7uwvsao6t2n-KvW3Ax8J8uRRfZPq1zPbXgKc/edit?usp=sharing"",""ระยอง!N51"")+IMPORTRANGE(""https://docs.google.com/spreadsheets/d/1jQ6P4QcrGM89YfqcC_PxOHGCMq5ezhucwJd8ci-NHng/edit?usp=sharing"",""ราชบุรี!N51"")+IMPORTRANGE"&amp;"(""https://docs.google.com/spreadsheets/d/1lufeA2cfFqM-elVq2hznhDzC6Pr7wkJ9ZG_sYNGCMCU/edit?usp=sharing"",""ลพบุรี!N51"")+IMPORTRANGE(""https://docs.google.com/spreadsheets/d/10oOiF7loTyfsTkbd4MpaIm0HQ9SwB7IYHdIUvt-U1Uc/edit?usp=sharing"",""สระแก้ว!N51"")"&amp;"+IMPORTRANGE(""https://docs.google.com/spreadsheets/d/1xmPlrr1QbdSIKvl1dWUl9K4PjAfSL9oeMr_37QVzcxc/edit?usp=sharing"",""สระบุรี!N51"")+IMPORTRANGE(""https://docs.google.com/spreadsheets/d/1j51vR6CYVGhABJpv6tkstgok82RLpXieLzW1yOY5rHw/edit?usp=sharing"",""ส"&amp;"ิงห์บุรี!N51"")+IMPORTRANGE(""https://docs.google.com/spreadsheets/d/1H1EalTWKUSzO4Z1-1CwzoDUaVffgrThEBe2sl74kKG0/edit?usp=sharing"",""สุพรรณบุรี!N51"")+IMPORTRANGE(""https://docs.google.com/spreadsheets/d/1BmIruG_sIrJLYao_Pdr7zVArWsfoBt2692TMi6x_854/edit"&amp;"?usp=sharing"",""อ่างทอง!N51"")"),0)</f>
        <v>0</v>
      </c>
      <c r="O51" s="59">
        <f t="shared" ca="1" si="16"/>
        <v>0</v>
      </c>
      <c r="P51" s="59">
        <f t="shared" ca="1" si="17"/>
        <v>0</v>
      </c>
    </row>
    <row r="52" spans="1:16" ht="18.75" x14ac:dyDescent="0.25">
      <c r="A52" s="52"/>
      <c r="B52" s="53"/>
      <c r="C52" s="53"/>
      <c r="D52" s="53"/>
      <c r="E52" s="60" t="s">
        <v>19</v>
      </c>
      <c r="F52" s="53"/>
      <c r="G52" s="55"/>
      <c r="H52" s="56" t="s">
        <v>12</v>
      </c>
      <c r="I52" s="57"/>
      <c r="J52" s="57"/>
      <c r="K52" s="58"/>
      <c r="L52" s="59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59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59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59">
        <f t="shared" ca="1" si="16"/>
        <v>0</v>
      </c>
      <c r="P52" s="59">
        <f t="shared" ca="1" si="17"/>
        <v>0</v>
      </c>
    </row>
    <row r="53" spans="1:16" ht="18.75" x14ac:dyDescent="0.25">
      <c r="A53" s="62"/>
      <c r="B53" s="63"/>
      <c r="C53" s="63"/>
      <c r="D53" s="64" t="s">
        <v>22</v>
      </c>
      <c r="E53" s="63"/>
      <c r="F53" s="63"/>
      <c r="G53" s="65"/>
      <c r="H53" s="66" t="s">
        <v>12</v>
      </c>
      <c r="I53" s="67"/>
      <c r="J53" s="67"/>
      <c r="K53" s="68"/>
      <c r="L53" s="69">
        <f t="shared" ref="L53:N53" ca="1" si="22">L54+L55</f>
        <v>0</v>
      </c>
      <c r="M53" s="69">
        <f t="shared" ca="1" si="22"/>
        <v>0</v>
      </c>
      <c r="N53" s="69">
        <f t="shared" ca="1" si="22"/>
        <v>0</v>
      </c>
      <c r="O53" s="69">
        <f t="shared" ca="1" si="16"/>
        <v>0</v>
      </c>
      <c r="P53" s="69">
        <f t="shared" ca="1" si="17"/>
        <v>0</v>
      </c>
    </row>
    <row r="54" spans="1:16" ht="18.75" x14ac:dyDescent="0.25">
      <c r="A54" s="52"/>
      <c r="B54" s="53"/>
      <c r="C54" s="53"/>
      <c r="D54" s="53"/>
      <c r="E54" s="60" t="s">
        <v>18</v>
      </c>
      <c r="F54" s="53"/>
      <c r="G54" s="55"/>
      <c r="H54" s="56" t="s">
        <v>12</v>
      </c>
      <c r="I54" s="57"/>
      <c r="J54" s="57"/>
      <c r="K54" s="58"/>
      <c r="L54" s="59">
        <f ca="1">IFERROR(__xludf.DUMMYFUNCTION("IMPORTRANGE(""https://docs.google.com/spreadsheets/d/13wPX838HrBrQMCywv1BsuMkt4PEKTChp52zj44s2izQ/edit?usp=sharing"",""กาญจนบุรี!L54"")+IMPORTRANGE(""https://docs.google.com/spreadsheets/d/1ddFKvqj1W1NEiWytbGlB1zMx_ykJDVtmfEQ-6-lIUBA/edit?usp=sharing"","""&amp;"จันทบุรี!L54"")+IMPORTRANGE(""https://docs.google.com/spreadsheets/d/1T1PQvRODqOBZk8BRht_U031fIS1beLA0Ub2CEytj2q0/edit?usp=sharing"",""ฉะเชิงเทรา!L54"")+IMPORTRANGE(""https://docs.google.com/spreadsheets/d/11tr1B-Bhyr79v2bkwVh5h_fR-PStkgjlZtkrZpYurG0/edit"&amp;"?usp=sharing"",""ชลบุรี!L54"")+IMPORTRANGE(""https://docs.google.com/spreadsheets/d/1hh-FVnSX0vozXhGluamEcS54Dw9_zqW0N7qJUWgJ0Sw/edit?usp=sharing"",""ชัยนาท!L54"")+IMPORTRANGE(""https://docs.google.com/spreadsheets/d/1jkqa6GXxSacMcY1eN8AHjMNJ_7dDXMJVRLDla"&amp;"FSOdPM/edit?usp=sharing"",""ตราด!L54"")+IMPORTRANGE(""https://docs.google.com/spreadsheets/d/18hSgUJ3VwClqi_qtULmmW3cLr0oe3OKaSYoKzdpTsYQ/edit?usp=sharing"",""นครนายก!L54"")+IMPORTRANGE(""https://docs.google.com/spreadsheets/d/1YTZo6WM2dQ6Ix6FSdnL5P7uVnVK"&amp;"u40sxZu975tgG10E/edit?usp=sharing"",""นครปฐม!L54"")+IMPORTRANGE(""https://docs.google.com/spreadsheets/d/1OYoGg4WDg5RIzwGeB10padOxJF9E_Vljuvvct_M7RDo/edit?usp=sharing"",""ปทุมธานี!L54"")+IMPORTRANGE(""https://docs.google.com/spreadsheets/d/1GbCIE4D4wk9FUo"&amp;"zzqk7SxfDMxDVBwVmI5zcaVUSzKAc/edit?usp=sharing"",""ประจวบคีรีขันธ์!L54"")+IMPORTRANGE(""https://docs.google.com/spreadsheets/d/1vVf6wykvW_lAyu7Yo9L4hUTqHqIeP_qcVuxCtosJEbg/edit?usp=sharing"",""ปราจีนบุรี!L54"")+IMPORTRANGE(""https://docs.google.com/spread"&amp;"sheets/d/1BIDqLLg5jk3v59G8NlR8rk5xfQDKne0sAvZHSj7TI6I/edit?usp=sharing"",""พระนครศรีอยุธยา!L54"")+IMPORTRANGE(""https://docs.google.com/spreadsheets/d/1YXvxf8Yu6_rV4hTBrwMqAcAnv6DfhUxh5emyM3CJp_w/edit?usp=sharing"",""เพชรบุรี!L54"")+IMPORTRANGE(""https://"&amp;"docs.google.com/spreadsheets/d/19KBlQQs7uwvsao6t2n-KvW3Ax8J8uRRfZPq1zPbXgKc/edit?usp=sharing"",""ระยอง!L54"")+IMPORTRANGE(""https://docs.google.com/spreadsheets/d/1jQ6P4QcrGM89YfqcC_PxOHGCMq5ezhucwJd8ci-NHng/edit?usp=sharing"",""ราชบุรี!L54"")+IMPORTRANGE"&amp;"(""https://docs.google.com/spreadsheets/d/1lufeA2cfFqM-elVq2hznhDzC6Pr7wkJ9ZG_sYNGCMCU/edit?usp=sharing"",""ลพบุรี!L54"")+IMPORTRANGE(""https://docs.google.com/spreadsheets/d/10oOiF7loTyfsTkbd4MpaIm0HQ9SwB7IYHdIUvt-U1Uc/edit?usp=sharing"",""สระแก้ว!L54"")"&amp;"+IMPORTRANGE(""https://docs.google.com/spreadsheets/d/1xmPlrr1QbdSIKvl1dWUl9K4PjAfSL9oeMr_37QVzcxc/edit?usp=sharing"",""สระบุรี!L54"")+IMPORTRANGE(""https://docs.google.com/spreadsheets/d/1j51vR6CYVGhABJpv6tkstgok82RLpXieLzW1yOY5rHw/edit?usp=sharing"",""ส"&amp;"ิงห์บุรี!L54"")+IMPORTRANGE(""https://docs.google.com/spreadsheets/d/1H1EalTWKUSzO4Z1-1CwzoDUaVffgrThEBe2sl74kKG0/edit?usp=sharing"",""สุพรรณบุรี!L54"")+IMPORTRANGE(""https://docs.google.com/spreadsheets/d/1BmIruG_sIrJLYao_Pdr7zVArWsfoBt2692TMi6x_854/edit"&amp;"?usp=sharing"",""อ่างทอง!L54"")"),0)</f>
        <v>0</v>
      </c>
      <c r="M54" s="59">
        <f ca="1">IFERROR(__xludf.DUMMYFUNCTION("IMPORTRANGE(""https://docs.google.com/spreadsheets/d/13wPX838HrBrQMCywv1BsuMkt4PEKTChp52zj44s2izQ/edit?usp=sharing"",""กาญจนบุรี!M54"")+IMPORTRANGE(""https://docs.google.com/spreadsheets/d/1ddFKvqj1W1NEiWytbGlB1zMx_ykJDVtmfEQ-6-lIUBA/edit?usp=sharing"","""&amp;"จันทบุรี!M54"")+IMPORTRANGE(""https://docs.google.com/spreadsheets/d/1T1PQvRODqOBZk8BRht_U031fIS1beLA0Ub2CEytj2q0/edit?usp=sharing"",""ฉะเชิงเทรา!M54"")+IMPORTRANGE(""https://docs.google.com/spreadsheets/d/11tr1B-Bhyr79v2bkwVh5h_fR-PStkgjlZtkrZpYurG0/edit"&amp;"?usp=sharing"",""ชลบุรี!M54"")+IMPORTRANGE(""https://docs.google.com/spreadsheets/d/1hh-FVnSX0vozXhGluamEcS54Dw9_zqW0N7qJUWgJ0Sw/edit?usp=sharing"",""ชัยนาท!M54"")+IMPORTRANGE(""https://docs.google.com/spreadsheets/d/1jkqa6GXxSacMcY1eN8AHjMNJ_7dDXMJVRLDla"&amp;"FSOdPM/edit?usp=sharing"",""ตราด!M54"")+IMPORTRANGE(""https://docs.google.com/spreadsheets/d/18hSgUJ3VwClqi_qtULmmW3cLr0oe3OKaSYoKzdpTsYQ/edit?usp=sharing"",""นครนายก!M54"")+IMPORTRANGE(""https://docs.google.com/spreadsheets/d/1YTZo6WM2dQ6Ix6FSdnL5P7uVnVK"&amp;"u40sxZu975tgG10E/edit?usp=sharing"",""นครปฐม!M54"")+IMPORTRANGE(""https://docs.google.com/spreadsheets/d/1OYoGg4WDg5RIzwGeB10padOxJF9E_Vljuvvct_M7RDo/edit?usp=sharing"",""ปทุมธานี!M54"")+IMPORTRANGE(""https://docs.google.com/spreadsheets/d/1GbCIE4D4wk9FUo"&amp;"zzqk7SxfDMxDVBwVmI5zcaVUSzKAc/edit?usp=sharing"",""ประจวบคีรีขันธ์!M54"")+IMPORTRANGE(""https://docs.google.com/spreadsheets/d/1vVf6wykvW_lAyu7Yo9L4hUTqHqIeP_qcVuxCtosJEbg/edit?usp=sharing"",""ปราจีนบุรี!M54"")+IMPORTRANGE(""https://docs.google.com/spread"&amp;"sheets/d/1BIDqLLg5jk3v59G8NlR8rk5xfQDKne0sAvZHSj7TI6I/edit?usp=sharing"",""พระนครศรีอยุธยา!M54"")+IMPORTRANGE(""https://docs.google.com/spreadsheets/d/1YXvxf8Yu6_rV4hTBrwMqAcAnv6DfhUxh5emyM3CJp_w/edit?usp=sharing"",""เพชรบุรี!M54"")+IMPORTRANGE(""https://"&amp;"docs.google.com/spreadsheets/d/19KBlQQs7uwvsao6t2n-KvW3Ax8J8uRRfZPq1zPbXgKc/edit?usp=sharing"",""ระยอง!M54"")+IMPORTRANGE(""https://docs.google.com/spreadsheets/d/1jQ6P4QcrGM89YfqcC_PxOHGCMq5ezhucwJd8ci-NHng/edit?usp=sharing"",""ราชบุรี!M54"")+IMPORTRANGE"&amp;"(""https://docs.google.com/spreadsheets/d/1lufeA2cfFqM-elVq2hznhDzC6Pr7wkJ9ZG_sYNGCMCU/edit?usp=sharing"",""ลพบุรี!M54"")+IMPORTRANGE(""https://docs.google.com/spreadsheets/d/10oOiF7loTyfsTkbd4MpaIm0HQ9SwB7IYHdIUvt-U1Uc/edit?usp=sharing"",""สระแก้ว!M54"")"&amp;"+IMPORTRANGE(""https://docs.google.com/spreadsheets/d/1xmPlrr1QbdSIKvl1dWUl9K4PjAfSL9oeMr_37QVzcxc/edit?usp=sharing"",""สระบุรี!M54"")+IMPORTRANGE(""https://docs.google.com/spreadsheets/d/1j51vR6CYVGhABJpv6tkstgok82RLpXieLzW1yOY5rHw/edit?usp=sharing"",""ส"&amp;"ิงห์บุรี!M54"")+IMPORTRANGE(""https://docs.google.com/spreadsheets/d/1H1EalTWKUSzO4Z1-1CwzoDUaVffgrThEBe2sl74kKG0/edit?usp=sharing"",""สุพรรณบุรี!M54"")+IMPORTRANGE(""https://docs.google.com/spreadsheets/d/1BmIruG_sIrJLYao_Pdr7zVArWsfoBt2692TMi6x_854/edit"&amp;"?usp=sharing"",""อ่างทอง!M54"")"),0)</f>
        <v>0</v>
      </c>
      <c r="N54" s="59">
        <f ca="1">IFERROR(__xludf.DUMMYFUNCTION("IMPORTRANGE(""https://docs.google.com/spreadsheets/d/13wPX838HrBrQMCywv1BsuMkt4PEKTChp52zj44s2izQ/edit?usp=sharing"",""กาญจนบุรี!N54"")+IMPORTRANGE(""https://docs.google.com/spreadsheets/d/1ddFKvqj1W1NEiWytbGlB1zMx_ykJDVtmfEQ-6-lIUBA/edit?usp=sharing"","""&amp;"จันทบุรี!N54"")+IMPORTRANGE(""https://docs.google.com/spreadsheets/d/1T1PQvRODqOBZk8BRht_U031fIS1beLA0Ub2CEytj2q0/edit?usp=sharing"",""ฉะเชิงเทรา!N54"")+IMPORTRANGE(""https://docs.google.com/spreadsheets/d/11tr1B-Bhyr79v2bkwVh5h_fR-PStkgjlZtkrZpYurG0/edit"&amp;"?usp=sharing"",""ชลบุรี!N54"")+IMPORTRANGE(""https://docs.google.com/spreadsheets/d/1hh-FVnSX0vozXhGluamEcS54Dw9_zqW0N7qJUWgJ0Sw/edit?usp=sharing"",""ชัยนาท!N54"")+IMPORTRANGE(""https://docs.google.com/spreadsheets/d/1jkqa6GXxSacMcY1eN8AHjMNJ_7dDXMJVRLDla"&amp;"FSOdPM/edit?usp=sharing"",""ตราด!N54"")+IMPORTRANGE(""https://docs.google.com/spreadsheets/d/18hSgUJ3VwClqi_qtULmmW3cLr0oe3OKaSYoKzdpTsYQ/edit?usp=sharing"",""นครนายก!N54"")+IMPORTRANGE(""https://docs.google.com/spreadsheets/d/1YTZo6WM2dQ6Ix6FSdnL5P7uVnVK"&amp;"u40sxZu975tgG10E/edit?usp=sharing"",""นครปฐม!N54"")+IMPORTRANGE(""https://docs.google.com/spreadsheets/d/1OYoGg4WDg5RIzwGeB10padOxJF9E_Vljuvvct_M7RDo/edit?usp=sharing"",""ปทุมธานี!N54"")+IMPORTRANGE(""https://docs.google.com/spreadsheets/d/1GbCIE4D4wk9FUo"&amp;"zzqk7SxfDMxDVBwVmI5zcaVUSzKAc/edit?usp=sharing"",""ประจวบคีรีขันธ์!N54"")+IMPORTRANGE(""https://docs.google.com/spreadsheets/d/1vVf6wykvW_lAyu7Yo9L4hUTqHqIeP_qcVuxCtosJEbg/edit?usp=sharing"",""ปราจีนบุรี!N54"")+IMPORTRANGE(""https://docs.google.com/spread"&amp;"sheets/d/1BIDqLLg5jk3v59G8NlR8rk5xfQDKne0sAvZHSj7TI6I/edit?usp=sharing"",""พระนครศรีอยุธยา!N54"")+IMPORTRANGE(""https://docs.google.com/spreadsheets/d/1YXvxf8Yu6_rV4hTBrwMqAcAnv6DfhUxh5emyM3CJp_w/edit?usp=sharing"",""เพชรบุรี!N54"")+IMPORTRANGE(""https://"&amp;"docs.google.com/spreadsheets/d/19KBlQQs7uwvsao6t2n-KvW3Ax8J8uRRfZPq1zPbXgKc/edit?usp=sharing"",""ระยอง!N54"")+IMPORTRANGE(""https://docs.google.com/spreadsheets/d/1jQ6P4QcrGM89YfqcC_PxOHGCMq5ezhucwJd8ci-NHng/edit?usp=sharing"",""ราชบุรี!N54"")+IMPORTRANGE"&amp;"(""https://docs.google.com/spreadsheets/d/1lufeA2cfFqM-elVq2hznhDzC6Pr7wkJ9ZG_sYNGCMCU/edit?usp=sharing"",""ลพบุรี!N54"")+IMPORTRANGE(""https://docs.google.com/spreadsheets/d/10oOiF7loTyfsTkbd4MpaIm0HQ9SwB7IYHdIUvt-U1Uc/edit?usp=sharing"",""สระแก้ว!N54"")"&amp;"+IMPORTRANGE(""https://docs.google.com/spreadsheets/d/1xmPlrr1QbdSIKvl1dWUl9K4PjAfSL9oeMr_37QVzcxc/edit?usp=sharing"",""สระบุรี!N54"")+IMPORTRANGE(""https://docs.google.com/spreadsheets/d/1j51vR6CYVGhABJpv6tkstgok82RLpXieLzW1yOY5rHw/edit?usp=sharing"",""ส"&amp;"ิงห์บุรี!N54"")+IMPORTRANGE(""https://docs.google.com/spreadsheets/d/1H1EalTWKUSzO4Z1-1CwzoDUaVffgrThEBe2sl74kKG0/edit?usp=sharing"",""สุพรรณบุรี!N54"")+IMPORTRANGE(""https://docs.google.com/spreadsheets/d/1BmIruG_sIrJLYao_Pdr7zVArWsfoBt2692TMi6x_854/edit"&amp;"?usp=sharing"",""อ่างทอง!N54"")"),0)</f>
        <v>0</v>
      </c>
      <c r="O54" s="59">
        <f t="shared" ca="1" si="16"/>
        <v>0</v>
      </c>
      <c r="P54" s="59">
        <f t="shared" ca="1" si="17"/>
        <v>0</v>
      </c>
    </row>
    <row r="55" spans="1:16" ht="18.75" x14ac:dyDescent="0.25">
      <c r="A55" s="70"/>
      <c r="B55" s="71"/>
      <c r="C55" s="71"/>
      <c r="D55" s="71"/>
      <c r="E55" s="72" t="s">
        <v>19</v>
      </c>
      <c r="F55" s="71"/>
      <c r="G55" s="73"/>
      <c r="H55" s="74" t="s">
        <v>12</v>
      </c>
      <c r="I55" s="75"/>
      <c r="J55" s="75"/>
      <c r="K55" s="76"/>
      <c r="L55" s="77">
        <f ca="1">IFERROR(__xludf.DUMMYFUNCTION("IMPORTRANGE(""https://docs.google.com/spreadsheets/d/13wPX838HrBrQMCywv1BsuMkt4PEKTChp52zj44s2izQ/edit?usp=sharing"",""กาญจนบุรี!L55"")+IMPORTRANGE(""https://docs.google.com/spreadsheets/d/1ddFKvqj1W1NEiWytbGlB1zMx_ykJDVtmfEQ-6-lIUBA/edit?usp=sharing"","""&amp;"จันทบุรี!L55"")+IMPORTRANGE(""https://docs.google.com/spreadsheets/d/1T1PQvRODqOBZk8BRht_U031fIS1beLA0Ub2CEytj2q0/edit?usp=sharing"",""ฉะเชิงเทรา!L55"")+IMPORTRANGE(""https://docs.google.com/spreadsheets/d/11tr1B-Bhyr79v2bkwVh5h_fR-PStkgjlZtkrZpYurG0/edit"&amp;"?usp=sharing"",""ชลบุรี!L55"")+IMPORTRANGE(""https://docs.google.com/spreadsheets/d/1hh-FVnSX0vozXhGluamEcS54Dw9_zqW0N7qJUWgJ0Sw/edit?usp=sharing"",""ชัยนาท!L55"")+IMPORTRANGE(""https://docs.google.com/spreadsheets/d/1jkqa6GXxSacMcY1eN8AHjMNJ_7dDXMJVRLDla"&amp;"FSOdPM/edit?usp=sharing"",""ตราด!L55"")+IMPORTRANGE(""https://docs.google.com/spreadsheets/d/18hSgUJ3VwClqi_qtULmmW3cLr0oe3OKaSYoKzdpTsYQ/edit?usp=sharing"",""นครนายก!L55"")+IMPORTRANGE(""https://docs.google.com/spreadsheets/d/1YTZo6WM2dQ6Ix6FSdnL5P7uVnVK"&amp;"u40sxZu975tgG10E/edit?usp=sharing"",""นครปฐม!L55"")+IMPORTRANGE(""https://docs.google.com/spreadsheets/d/1OYoGg4WDg5RIzwGeB10padOxJF9E_Vljuvvct_M7RDo/edit?usp=sharing"",""ปทุมธานี!L55"")+IMPORTRANGE(""https://docs.google.com/spreadsheets/d/1GbCIE4D4wk9FUo"&amp;"zzqk7SxfDMxDVBwVmI5zcaVUSzKAc/edit?usp=sharing"",""ประจวบคีรีขันธ์!L55"")+IMPORTRANGE(""https://docs.google.com/spreadsheets/d/1vVf6wykvW_lAyu7Yo9L4hUTqHqIeP_qcVuxCtosJEbg/edit?usp=sharing"",""ปราจีนบุรี!L55"")+IMPORTRANGE(""https://docs.google.com/spread"&amp;"sheets/d/1BIDqLLg5jk3v59G8NlR8rk5xfQDKne0sAvZHSj7TI6I/edit?usp=sharing"",""พระนครศรีอยุธยา!L55"")+IMPORTRANGE(""https://docs.google.com/spreadsheets/d/1YXvxf8Yu6_rV4hTBrwMqAcAnv6DfhUxh5emyM3CJp_w/edit?usp=sharing"",""เพชรบุรี!L55"")+IMPORTRANGE(""https://"&amp;"docs.google.com/spreadsheets/d/19KBlQQs7uwvsao6t2n-KvW3Ax8J8uRRfZPq1zPbXgKc/edit?usp=sharing"",""ระยอง!L55"")+IMPORTRANGE(""https://docs.google.com/spreadsheets/d/1jQ6P4QcrGM89YfqcC_PxOHGCMq5ezhucwJd8ci-NHng/edit?usp=sharing"",""ราชบุรี!L55"")+IMPORTRANGE"&amp;"(""https://docs.google.com/spreadsheets/d/1lufeA2cfFqM-elVq2hznhDzC6Pr7wkJ9ZG_sYNGCMCU/edit?usp=sharing"",""ลพบุรี!L55"")+IMPORTRANGE(""https://docs.google.com/spreadsheets/d/10oOiF7loTyfsTkbd4MpaIm0HQ9SwB7IYHdIUvt-U1Uc/edit?usp=sharing"",""สระแก้ว!L55"")"&amp;"+IMPORTRANGE(""https://docs.google.com/spreadsheets/d/1xmPlrr1QbdSIKvl1dWUl9K4PjAfSL9oeMr_37QVzcxc/edit?usp=sharing"",""สระบุรี!L55"")+IMPORTRANGE(""https://docs.google.com/spreadsheets/d/1j51vR6CYVGhABJpv6tkstgok82RLpXieLzW1yOY5rHw/edit?usp=sharing"",""ส"&amp;"ิงห์บุรี!L55"")+IMPORTRANGE(""https://docs.google.com/spreadsheets/d/1H1EalTWKUSzO4Z1-1CwzoDUaVffgrThEBe2sl74kKG0/edit?usp=sharing"",""สุพรรณบุรี!L55"")+IMPORTRANGE(""https://docs.google.com/spreadsheets/d/1BmIruG_sIrJLYao_Pdr7zVArWsfoBt2692TMi6x_854/edit"&amp;"?usp=sharing"",""อ่างทอง!L55"")"),0)</f>
        <v>0</v>
      </c>
      <c r="M55" s="77">
        <f ca="1">IFERROR(__xludf.DUMMYFUNCTION("IMPORTRANGE(""https://docs.google.com/spreadsheets/d/13wPX838HrBrQMCywv1BsuMkt4PEKTChp52zj44s2izQ/edit?usp=sharing"",""กาญจนบุรี!M55"")+IMPORTRANGE(""https://docs.google.com/spreadsheets/d/1ddFKvqj1W1NEiWytbGlB1zMx_ykJDVtmfEQ-6-lIUBA/edit?usp=sharing"","""&amp;"จันทบุรี!M55"")+IMPORTRANGE(""https://docs.google.com/spreadsheets/d/1T1PQvRODqOBZk8BRht_U031fIS1beLA0Ub2CEytj2q0/edit?usp=sharing"",""ฉะเชิงเทรา!M55"")+IMPORTRANGE(""https://docs.google.com/spreadsheets/d/11tr1B-Bhyr79v2bkwVh5h_fR-PStkgjlZtkrZpYurG0/edit"&amp;"?usp=sharing"",""ชลบุรี!M55"")+IMPORTRANGE(""https://docs.google.com/spreadsheets/d/1hh-FVnSX0vozXhGluamEcS54Dw9_zqW0N7qJUWgJ0Sw/edit?usp=sharing"",""ชัยนาท!M55"")+IMPORTRANGE(""https://docs.google.com/spreadsheets/d/1jkqa6GXxSacMcY1eN8AHjMNJ_7dDXMJVRLDla"&amp;"FSOdPM/edit?usp=sharing"",""ตราด!M55"")+IMPORTRANGE(""https://docs.google.com/spreadsheets/d/18hSgUJ3VwClqi_qtULmmW3cLr0oe3OKaSYoKzdpTsYQ/edit?usp=sharing"",""นครนายก!M55"")+IMPORTRANGE(""https://docs.google.com/spreadsheets/d/1YTZo6WM2dQ6Ix6FSdnL5P7uVnVK"&amp;"u40sxZu975tgG10E/edit?usp=sharing"",""นครปฐม!M55"")+IMPORTRANGE(""https://docs.google.com/spreadsheets/d/1OYoGg4WDg5RIzwGeB10padOxJF9E_Vljuvvct_M7RDo/edit?usp=sharing"",""ปทุมธานี!M55"")+IMPORTRANGE(""https://docs.google.com/spreadsheets/d/1GbCIE4D4wk9FUo"&amp;"zzqk7SxfDMxDVBwVmI5zcaVUSzKAc/edit?usp=sharing"",""ประจวบคีรีขันธ์!M55"")+IMPORTRANGE(""https://docs.google.com/spreadsheets/d/1vVf6wykvW_lAyu7Yo9L4hUTqHqIeP_qcVuxCtosJEbg/edit?usp=sharing"",""ปราจีนบุรี!M55"")+IMPORTRANGE(""https://docs.google.com/spread"&amp;"sheets/d/1BIDqLLg5jk3v59G8NlR8rk5xfQDKne0sAvZHSj7TI6I/edit?usp=sharing"",""พระนครศรีอยุธยา!M55"")+IMPORTRANGE(""https://docs.google.com/spreadsheets/d/1YXvxf8Yu6_rV4hTBrwMqAcAnv6DfhUxh5emyM3CJp_w/edit?usp=sharing"",""เพชรบุรี!M55"")+IMPORTRANGE(""https://"&amp;"docs.google.com/spreadsheets/d/19KBlQQs7uwvsao6t2n-KvW3Ax8J8uRRfZPq1zPbXgKc/edit?usp=sharing"",""ระยอง!M55"")+IMPORTRANGE(""https://docs.google.com/spreadsheets/d/1jQ6P4QcrGM89YfqcC_PxOHGCMq5ezhucwJd8ci-NHng/edit?usp=sharing"",""ราชบุรี!M55"")+IMPORTRANGE"&amp;"(""https://docs.google.com/spreadsheets/d/1lufeA2cfFqM-elVq2hznhDzC6Pr7wkJ9ZG_sYNGCMCU/edit?usp=sharing"",""ลพบุรี!M55"")+IMPORTRANGE(""https://docs.google.com/spreadsheets/d/10oOiF7loTyfsTkbd4MpaIm0HQ9SwB7IYHdIUvt-U1Uc/edit?usp=sharing"",""สระแก้ว!M55"")"&amp;"+IMPORTRANGE(""https://docs.google.com/spreadsheets/d/1xmPlrr1QbdSIKvl1dWUl9K4PjAfSL9oeMr_37QVzcxc/edit?usp=sharing"",""สระบุรี!M55"")+IMPORTRANGE(""https://docs.google.com/spreadsheets/d/1j51vR6CYVGhABJpv6tkstgok82RLpXieLzW1yOY5rHw/edit?usp=sharing"",""ส"&amp;"ิงห์บุรี!M55"")+IMPORTRANGE(""https://docs.google.com/spreadsheets/d/1H1EalTWKUSzO4Z1-1CwzoDUaVffgrThEBe2sl74kKG0/edit?usp=sharing"",""สุพรรณบุรี!M55"")+IMPORTRANGE(""https://docs.google.com/spreadsheets/d/1BmIruG_sIrJLYao_Pdr7zVArWsfoBt2692TMi6x_854/edit"&amp;"?usp=sharing"",""อ่างทอง!M55"")"),0)</f>
        <v>0</v>
      </c>
      <c r="N55" s="77">
        <f ca="1">IFERROR(__xludf.DUMMYFUNCTION("IMPORTRANGE(""https://docs.google.com/spreadsheets/d/13wPX838HrBrQMCywv1BsuMkt4PEKTChp52zj44s2izQ/edit?usp=sharing"",""กาญจนบุรี!N55"")+IMPORTRANGE(""https://docs.google.com/spreadsheets/d/1ddFKvqj1W1NEiWytbGlB1zMx_ykJDVtmfEQ-6-lIUBA/edit?usp=sharing"","""&amp;"จันทบุรี!N55"")+IMPORTRANGE(""https://docs.google.com/spreadsheets/d/1T1PQvRODqOBZk8BRht_U031fIS1beLA0Ub2CEytj2q0/edit?usp=sharing"",""ฉะเชิงเทรา!N55"")+IMPORTRANGE(""https://docs.google.com/spreadsheets/d/11tr1B-Bhyr79v2bkwVh5h_fR-PStkgjlZtkrZpYurG0/edit"&amp;"?usp=sharing"",""ชลบุรี!N55"")+IMPORTRANGE(""https://docs.google.com/spreadsheets/d/1hh-FVnSX0vozXhGluamEcS54Dw9_zqW0N7qJUWgJ0Sw/edit?usp=sharing"",""ชัยนาท!N55"")+IMPORTRANGE(""https://docs.google.com/spreadsheets/d/1jkqa6GXxSacMcY1eN8AHjMNJ_7dDXMJVRLDla"&amp;"FSOdPM/edit?usp=sharing"",""ตราด!N55"")+IMPORTRANGE(""https://docs.google.com/spreadsheets/d/18hSgUJ3VwClqi_qtULmmW3cLr0oe3OKaSYoKzdpTsYQ/edit?usp=sharing"",""นครนายก!N55"")+IMPORTRANGE(""https://docs.google.com/spreadsheets/d/1YTZo6WM2dQ6Ix6FSdnL5P7uVnVK"&amp;"u40sxZu975tgG10E/edit?usp=sharing"",""นครปฐม!N55"")+IMPORTRANGE(""https://docs.google.com/spreadsheets/d/1OYoGg4WDg5RIzwGeB10padOxJF9E_Vljuvvct_M7RDo/edit?usp=sharing"",""ปทุมธานี!N55"")+IMPORTRANGE(""https://docs.google.com/spreadsheets/d/1GbCIE4D4wk9FUo"&amp;"zzqk7SxfDMxDVBwVmI5zcaVUSzKAc/edit?usp=sharing"",""ประจวบคีรีขันธ์!N55"")+IMPORTRANGE(""https://docs.google.com/spreadsheets/d/1vVf6wykvW_lAyu7Yo9L4hUTqHqIeP_qcVuxCtosJEbg/edit?usp=sharing"",""ปราจีนบุรี!N55"")+IMPORTRANGE(""https://docs.google.com/spread"&amp;"sheets/d/1BIDqLLg5jk3v59G8NlR8rk5xfQDKne0sAvZHSj7TI6I/edit?usp=sharing"",""พระนครศรีอยุธยา!N55"")+IMPORTRANGE(""https://docs.google.com/spreadsheets/d/1YXvxf8Yu6_rV4hTBrwMqAcAnv6DfhUxh5emyM3CJp_w/edit?usp=sharing"",""เพชรบุรี!N55"")+IMPORTRANGE(""https://"&amp;"docs.google.com/spreadsheets/d/19KBlQQs7uwvsao6t2n-KvW3Ax8J8uRRfZPq1zPbXgKc/edit?usp=sharing"",""ระยอง!N55"")+IMPORTRANGE(""https://docs.google.com/spreadsheets/d/1jQ6P4QcrGM89YfqcC_PxOHGCMq5ezhucwJd8ci-NHng/edit?usp=sharing"",""ราชบุรี!N55"")+IMPORTRANGE"&amp;"(""https://docs.google.com/spreadsheets/d/1lufeA2cfFqM-elVq2hznhDzC6Pr7wkJ9ZG_sYNGCMCU/edit?usp=sharing"",""ลพบุรี!N55"")+IMPORTRANGE(""https://docs.google.com/spreadsheets/d/10oOiF7loTyfsTkbd4MpaIm0HQ9SwB7IYHdIUvt-U1Uc/edit?usp=sharing"",""สระแก้ว!N55"")"&amp;"+IMPORTRANGE(""https://docs.google.com/spreadsheets/d/1xmPlrr1QbdSIKvl1dWUl9K4PjAfSL9oeMr_37QVzcxc/edit?usp=sharing"",""สระบุรี!N55"")+IMPORTRANGE(""https://docs.google.com/spreadsheets/d/1j51vR6CYVGhABJpv6tkstgok82RLpXieLzW1yOY5rHw/edit?usp=sharing"",""ส"&amp;"ิงห์บุรี!N55"")+IMPORTRANGE(""https://docs.google.com/spreadsheets/d/1H1EalTWKUSzO4Z1-1CwzoDUaVffgrThEBe2sl74kKG0/edit?usp=sharing"",""สุพรรณบุรี!N55"")+IMPORTRANGE(""https://docs.google.com/spreadsheets/d/1BmIruG_sIrJLYao_Pdr7zVArWsfoBt2692TMi6x_854/edit"&amp;"?usp=sharing"",""อ่างทอง!N55"")"),0)</f>
        <v>0</v>
      </c>
      <c r="O55" s="77">
        <f t="shared" ca="1" si="16"/>
        <v>0</v>
      </c>
      <c r="P55" s="77">
        <f t="shared" ca="1" si="17"/>
        <v>0</v>
      </c>
    </row>
    <row r="56" spans="1:16" ht="19.5" x14ac:dyDescent="0.3">
      <c r="A56" s="1104" t="s">
        <v>26</v>
      </c>
      <c r="B56" s="1092"/>
      <c r="C56" s="1092"/>
      <c r="D56" s="1092"/>
      <c r="E56" s="1092"/>
      <c r="F56" s="1092"/>
      <c r="G56" s="1092"/>
      <c r="H56" s="107"/>
      <c r="I56" s="108"/>
      <c r="J56" s="108"/>
      <c r="K56" s="109"/>
      <c r="L56" s="109"/>
      <c r="M56" s="109"/>
      <c r="N56" s="109"/>
      <c r="O56" s="109"/>
      <c r="P56" s="110"/>
    </row>
    <row r="57" spans="1:16" ht="19.5" x14ac:dyDescent="0.3">
      <c r="A57" s="111"/>
      <c r="B57" s="1105" t="s">
        <v>27</v>
      </c>
      <c r="C57" s="1106"/>
      <c r="D57" s="1106"/>
      <c r="E57" s="1106"/>
      <c r="F57" s="1106"/>
      <c r="G57" s="1107"/>
      <c r="H57" s="112"/>
      <c r="I57" s="113"/>
      <c r="J57" s="113"/>
      <c r="K57" s="114"/>
      <c r="L57" s="114"/>
      <c r="M57" s="114"/>
      <c r="N57" s="114"/>
      <c r="O57" s="114"/>
      <c r="P57" s="114"/>
    </row>
    <row r="58" spans="1:16" ht="19.5" x14ac:dyDescent="0.3">
      <c r="A58" s="115"/>
      <c r="B58" s="116" t="s">
        <v>28</v>
      </c>
      <c r="C58" s="117"/>
      <c r="D58" s="117"/>
      <c r="E58" s="117"/>
      <c r="F58" s="117"/>
      <c r="G58" s="118"/>
      <c r="H58" s="118"/>
      <c r="I58" s="119"/>
      <c r="J58" s="119"/>
      <c r="K58" s="120"/>
      <c r="L58" s="120"/>
      <c r="M58" s="120"/>
      <c r="N58" s="120"/>
      <c r="O58" s="120"/>
      <c r="P58" s="120"/>
    </row>
    <row r="59" spans="1:16" ht="19.5" x14ac:dyDescent="0.3">
      <c r="A59" s="121"/>
      <c r="B59" s="122"/>
      <c r="C59" s="123" t="s">
        <v>16</v>
      </c>
      <c r="D59" s="124" t="s">
        <v>17</v>
      </c>
      <c r="E59" s="122"/>
      <c r="F59" s="122"/>
      <c r="G59" s="125"/>
      <c r="H59" s="126" t="s">
        <v>12</v>
      </c>
      <c r="I59" s="127"/>
      <c r="J59" s="127"/>
      <c r="K59" s="128"/>
      <c r="L59" s="129">
        <f t="shared" ref="L59:N59" ca="1" si="23">L60+L61</f>
        <v>9570900</v>
      </c>
      <c r="M59" s="129">
        <f t="shared" ca="1" si="23"/>
        <v>7437630</v>
      </c>
      <c r="N59" s="129">
        <f t="shared" ca="1" si="23"/>
        <v>5307424.18</v>
      </c>
      <c r="O59" s="129">
        <f t="shared" ref="O59:O67" ca="1" si="24">IF(L59&gt;0,N59*100/L59,0)</f>
        <v>55.453762760033015</v>
      </c>
      <c r="P59" s="129">
        <f t="shared" ref="P59:P67" ca="1" si="25">IF(M59&gt;0,N59*100/M59,0)</f>
        <v>71.35907782452206</v>
      </c>
    </row>
    <row r="60" spans="1:16" ht="18.75" x14ac:dyDescent="0.25">
      <c r="A60" s="121"/>
      <c r="B60" s="122"/>
      <c r="C60" s="122"/>
      <c r="D60" s="122"/>
      <c r="E60" s="130" t="s">
        <v>18</v>
      </c>
      <c r="F60" s="122"/>
      <c r="G60" s="125"/>
      <c r="H60" s="131" t="s">
        <v>12</v>
      </c>
      <c r="I60" s="127"/>
      <c r="J60" s="127"/>
      <c r="K60" s="128"/>
      <c r="L60" s="132">
        <f t="shared" ref="L60:N60" ca="1" si="26">L63+L66</f>
        <v>0</v>
      </c>
      <c r="M60" s="132">
        <f t="shared" ca="1" si="26"/>
        <v>0</v>
      </c>
      <c r="N60" s="132">
        <f t="shared" ca="1" si="26"/>
        <v>0</v>
      </c>
      <c r="O60" s="132">
        <f t="shared" ca="1" si="24"/>
        <v>0</v>
      </c>
      <c r="P60" s="132">
        <f t="shared" ca="1" si="25"/>
        <v>0</v>
      </c>
    </row>
    <row r="61" spans="1:16" ht="18.75" x14ac:dyDescent="0.25">
      <c r="A61" s="121"/>
      <c r="B61" s="122"/>
      <c r="C61" s="122"/>
      <c r="D61" s="122"/>
      <c r="E61" s="130" t="s">
        <v>19</v>
      </c>
      <c r="F61" s="122"/>
      <c r="G61" s="125"/>
      <c r="H61" s="131" t="s">
        <v>12</v>
      </c>
      <c r="I61" s="127"/>
      <c r="J61" s="127"/>
      <c r="K61" s="128"/>
      <c r="L61" s="132">
        <f t="shared" ref="L61:N61" ca="1" si="27">L64+L67</f>
        <v>9570900</v>
      </c>
      <c r="M61" s="132">
        <f t="shared" ca="1" si="27"/>
        <v>7437630</v>
      </c>
      <c r="N61" s="132">
        <f t="shared" ca="1" si="27"/>
        <v>5307424.18</v>
      </c>
      <c r="O61" s="132">
        <f t="shared" ca="1" si="24"/>
        <v>55.453762760033015</v>
      </c>
      <c r="P61" s="132">
        <f t="shared" ca="1" si="25"/>
        <v>71.35907782452206</v>
      </c>
    </row>
    <row r="62" spans="1:16" ht="18.75" x14ac:dyDescent="0.25">
      <c r="A62" s="52"/>
      <c r="B62" s="53"/>
      <c r="C62" s="53"/>
      <c r="D62" s="54" t="s">
        <v>20</v>
      </c>
      <c r="E62" s="53"/>
      <c r="F62" s="53"/>
      <c r="G62" s="55"/>
      <c r="H62" s="56" t="s">
        <v>12</v>
      </c>
      <c r="I62" s="57"/>
      <c r="J62" s="57"/>
      <c r="K62" s="58"/>
      <c r="L62" s="59">
        <f t="shared" ref="L62:N62" ca="1" si="28">L63+L64</f>
        <v>9570900</v>
      </c>
      <c r="M62" s="59">
        <f t="shared" ca="1" si="28"/>
        <v>7437630</v>
      </c>
      <c r="N62" s="59">
        <f t="shared" ca="1" si="28"/>
        <v>5307424.18</v>
      </c>
      <c r="O62" s="59">
        <f t="shared" ca="1" si="24"/>
        <v>55.453762760033015</v>
      </c>
      <c r="P62" s="59">
        <f t="shared" ca="1" si="25"/>
        <v>71.35907782452206</v>
      </c>
    </row>
    <row r="63" spans="1:16" ht="18.75" x14ac:dyDescent="0.25">
      <c r="A63" s="52"/>
      <c r="B63" s="53"/>
      <c r="C63" s="53"/>
      <c r="D63" s="53"/>
      <c r="E63" s="60" t="s">
        <v>18</v>
      </c>
      <c r="F63" s="53"/>
      <c r="G63" s="55"/>
      <c r="H63" s="56" t="s">
        <v>12</v>
      </c>
      <c r="I63" s="57"/>
      <c r="J63" s="57"/>
      <c r="K63" s="58"/>
      <c r="L63" s="59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59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59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59">
        <f t="shared" ca="1" si="24"/>
        <v>0</v>
      </c>
      <c r="P63" s="59">
        <f t="shared" ca="1" si="25"/>
        <v>0</v>
      </c>
    </row>
    <row r="64" spans="1:16" ht="18.75" x14ac:dyDescent="0.25">
      <c r="A64" s="52"/>
      <c r="B64" s="53"/>
      <c r="C64" s="53"/>
      <c r="D64" s="53"/>
      <c r="E64" s="60" t="s">
        <v>19</v>
      </c>
      <c r="F64" s="53"/>
      <c r="G64" s="55"/>
      <c r="H64" s="56" t="s">
        <v>12</v>
      </c>
      <c r="I64" s="57"/>
      <c r="J64" s="57"/>
      <c r="K64" s="58"/>
      <c r="L64" s="59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9570900)</f>
        <v>9570900</v>
      </c>
      <c r="M64" s="59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7437630)</f>
        <v>7437630</v>
      </c>
      <c r="N64" s="59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5307424.18)</f>
        <v>5307424.18</v>
      </c>
      <c r="O64" s="59">
        <f t="shared" ca="1" si="24"/>
        <v>55.453762760033015</v>
      </c>
      <c r="P64" s="59">
        <f t="shared" ca="1" si="25"/>
        <v>71.35907782452206</v>
      </c>
    </row>
    <row r="65" spans="1:16" ht="18.75" x14ac:dyDescent="0.25">
      <c r="A65" s="52"/>
      <c r="B65" s="53"/>
      <c r="C65" s="53"/>
      <c r="D65" s="54" t="s">
        <v>21</v>
      </c>
      <c r="E65" s="53"/>
      <c r="F65" s="53"/>
      <c r="G65" s="55"/>
      <c r="H65" s="56" t="s">
        <v>12</v>
      </c>
      <c r="I65" s="57"/>
      <c r="J65" s="57"/>
      <c r="K65" s="58"/>
      <c r="L65" s="59">
        <f t="shared" ref="L65:N65" ca="1" si="29">L66+L67</f>
        <v>0</v>
      </c>
      <c r="M65" s="59">
        <f t="shared" ca="1" si="29"/>
        <v>0</v>
      </c>
      <c r="N65" s="59">
        <f t="shared" ca="1" si="29"/>
        <v>0</v>
      </c>
      <c r="O65" s="59">
        <f t="shared" ca="1" si="24"/>
        <v>0</v>
      </c>
      <c r="P65" s="59">
        <f t="shared" ca="1" si="25"/>
        <v>0</v>
      </c>
    </row>
    <row r="66" spans="1:16" ht="18.75" x14ac:dyDescent="0.25">
      <c r="A66" s="52"/>
      <c r="B66" s="53"/>
      <c r="C66" s="53"/>
      <c r="D66" s="53"/>
      <c r="E66" s="60" t="s">
        <v>18</v>
      </c>
      <c r="F66" s="53"/>
      <c r="G66" s="55"/>
      <c r="H66" s="56" t="s">
        <v>12</v>
      </c>
      <c r="I66" s="57"/>
      <c r="J66" s="57"/>
      <c r="K66" s="58"/>
      <c r="L66" s="59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59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59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59">
        <f t="shared" ca="1" si="24"/>
        <v>0</v>
      </c>
      <c r="P66" s="59">
        <f t="shared" ca="1" si="25"/>
        <v>0</v>
      </c>
    </row>
    <row r="67" spans="1:16" ht="18.75" x14ac:dyDescent="0.25">
      <c r="A67" s="133"/>
      <c r="B67" s="1"/>
      <c r="C67" s="1"/>
      <c r="D67" s="1"/>
      <c r="E67" s="134" t="s">
        <v>19</v>
      </c>
      <c r="F67" s="1"/>
      <c r="G67" s="135"/>
      <c r="H67" s="136" t="s">
        <v>12</v>
      </c>
      <c r="I67" s="137"/>
      <c r="J67" s="137"/>
      <c r="K67" s="138"/>
      <c r="L67" s="139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0)</f>
        <v>0</v>
      </c>
      <c r="M67" s="139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0)</f>
        <v>0</v>
      </c>
      <c r="N67" s="139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0)</f>
        <v>0</v>
      </c>
      <c r="O67" s="139">
        <f t="shared" ca="1" si="24"/>
        <v>0</v>
      </c>
      <c r="P67" s="139">
        <f t="shared" ca="1" si="25"/>
        <v>0</v>
      </c>
    </row>
    <row r="68" spans="1:16" ht="19.5" x14ac:dyDescent="0.3">
      <c r="A68" s="140" t="s">
        <v>29</v>
      </c>
      <c r="B68" s="141"/>
      <c r="C68" s="141"/>
      <c r="D68" s="141"/>
      <c r="E68" s="142"/>
      <c r="F68" s="142"/>
      <c r="G68" s="142"/>
      <c r="H68" s="142"/>
      <c r="I68" s="143"/>
      <c r="J68" s="143"/>
      <c r="K68" s="144"/>
      <c r="L68" s="144"/>
      <c r="M68" s="144"/>
      <c r="N68" s="144"/>
      <c r="O68" s="144"/>
      <c r="P68" s="145"/>
    </row>
    <row r="69" spans="1:16" ht="19.5" x14ac:dyDescent="0.3">
      <c r="A69" s="146" t="s">
        <v>30</v>
      </c>
      <c r="B69" s="147"/>
      <c r="C69" s="148"/>
      <c r="D69" s="147"/>
      <c r="E69" s="147"/>
      <c r="F69" s="147"/>
      <c r="G69" s="149"/>
      <c r="H69" s="149"/>
      <c r="I69" s="150"/>
      <c r="J69" s="150"/>
      <c r="K69" s="151"/>
      <c r="L69" s="151"/>
      <c r="M69" s="151"/>
      <c r="N69" s="151"/>
      <c r="O69" s="151"/>
      <c r="P69" s="151"/>
    </row>
    <row r="70" spans="1:16" ht="19.5" x14ac:dyDescent="0.3">
      <c r="A70" s="152"/>
      <c r="B70" s="153" t="s">
        <v>31</v>
      </c>
      <c r="C70" s="41"/>
      <c r="D70" s="154"/>
      <c r="E70" s="41"/>
      <c r="F70" s="41"/>
      <c r="G70" s="44"/>
      <c r="H70" s="155" t="s">
        <v>32</v>
      </c>
      <c r="I70" s="156">
        <f t="shared" ref="I70:J70" ca="1" si="30">I82</f>
        <v>2</v>
      </c>
      <c r="J70" s="156">
        <f t="shared" ca="1" si="30"/>
        <v>0</v>
      </c>
      <c r="K70" s="48">
        <f t="shared" ref="K70:K71" ca="1" si="31">IF(I70&gt;0,J70*100/I70,0)</f>
        <v>0</v>
      </c>
      <c r="L70" s="47"/>
      <c r="M70" s="47"/>
      <c r="N70" s="47"/>
      <c r="O70" s="47"/>
      <c r="P70" s="47"/>
    </row>
    <row r="71" spans="1:16" ht="19.5" x14ac:dyDescent="0.3">
      <c r="A71" s="152"/>
      <c r="B71" s="41"/>
      <c r="C71" s="41"/>
      <c r="D71" s="154"/>
      <c r="E71" s="41"/>
      <c r="F71" s="41"/>
      <c r="G71" s="44"/>
      <c r="H71" s="155" t="s">
        <v>33</v>
      </c>
      <c r="I71" s="156">
        <f t="shared" ref="I71:J71" ca="1" si="32">I83</f>
        <v>120</v>
      </c>
      <c r="J71" s="156">
        <f t="shared" ca="1" si="32"/>
        <v>0</v>
      </c>
      <c r="K71" s="48">
        <f t="shared" ca="1" si="31"/>
        <v>0</v>
      </c>
      <c r="L71" s="47"/>
      <c r="M71" s="47"/>
      <c r="N71" s="47"/>
      <c r="O71" s="47"/>
      <c r="P71" s="47"/>
    </row>
    <row r="72" spans="1:16" ht="19.5" x14ac:dyDescent="0.3">
      <c r="A72" s="157"/>
      <c r="B72" s="53"/>
      <c r="C72" s="158" t="s">
        <v>16</v>
      </c>
      <c r="D72" s="159" t="s">
        <v>17</v>
      </c>
      <c r="E72" s="53"/>
      <c r="F72" s="53"/>
      <c r="G72" s="55"/>
      <c r="H72" s="160" t="s">
        <v>12</v>
      </c>
      <c r="I72" s="57"/>
      <c r="J72" s="57"/>
      <c r="K72" s="58"/>
      <c r="L72" s="161">
        <f t="shared" ref="L72:N72" ca="1" si="33">L73+L74</f>
        <v>1206300</v>
      </c>
      <c r="M72" s="161">
        <f t="shared" ca="1" si="33"/>
        <v>1046000</v>
      </c>
      <c r="N72" s="161">
        <f t="shared" ca="1" si="33"/>
        <v>272392.45999999897</v>
      </c>
      <c r="O72" s="161">
        <f t="shared" ref="O72:O80" ca="1" si="34">IF(L72&gt;0,N72*100/L72,0)</f>
        <v>22.580822349332582</v>
      </c>
      <c r="P72" s="161">
        <f t="shared" ref="P72:P80" ca="1" si="35">IF(M72&gt;0,N72*100/M72,0)</f>
        <v>26.04134416825994</v>
      </c>
    </row>
    <row r="73" spans="1:16" ht="18.75" x14ac:dyDescent="0.25">
      <c r="A73" s="157"/>
      <c r="B73" s="53"/>
      <c r="C73" s="53"/>
      <c r="D73" s="53"/>
      <c r="E73" s="60" t="s">
        <v>18</v>
      </c>
      <c r="F73" s="53"/>
      <c r="G73" s="55"/>
      <c r="H73" s="162" t="s">
        <v>12</v>
      </c>
      <c r="I73" s="57"/>
      <c r="J73" s="57"/>
      <c r="K73" s="58"/>
      <c r="L73" s="59">
        <f t="shared" ref="L73:N73" ca="1" si="36">L76+L79</f>
        <v>0</v>
      </c>
      <c r="M73" s="59">
        <f t="shared" ca="1" si="36"/>
        <v>0</v>
      </c>
      <c r="N73" s="59">
        <f t="shared" ca="1" si="36"/>
        <v>0</v>
      </c>
      <c r="O73" s="59">
        <f t="shared" ca="1" si="34"/>
        <v>0</v>
      </c>
      <c r="P73" s="59">
        <f t="shared" ca="1" si="35"/>
        <v>0</v>
      </c>
    </row>
    <row r="74" spans="1:16" ht="18.75" x14ac:dyDescent="0.25">
      <c r="A74" s="157"/>
      <c r="B74" s="53"/>
      <c r="C74" s="53"/>
      <c r="D74" s="53"/>
      <c r="E74" s="60" t="s">
        <v>19</v>
      </c>
      <c r="F74" s="53"/>
      <c r="G74" s="55"/>
      <c r="H74" s="162" t="s">
        <v>12</v>
      </c>
      <c r="I74" s="57"/>
      <c r="J74" s="57"/>
      <c r="K74" s="58"/>
      <c r="L74" s="59">
        <f t="shared" ref="L74:N74" ca="1" si="37">L77+L80</f>
        <v>1206300</v>
      </c>
      <c r="M74" s="59">
        <f t="shared" ca="1" si="37"/>
        <v>1046000</v>
      </c>
      <c r="N74" s="59">
        <f t="shared" ca="1" si="37"/>
        <v>272392.45999999897</v>
      </c>
      <c r="O74" s="59">
        <f t="shared" ca="1" si="34"/>
        <v>22.580822349332582</v>
      </c>
      <c r="P74" s="59">
        <f t="shared" ca="1" si="35"/>
        <v>26.04134416825994</v>
      </c>
    </row>
    <row r="75" spans="1:16" ht="18.75" x14ac:dyDescent="0.25">
      <c r="A75" s="157"/>
      <c r="B75" s="53"/>
      <c r="C75" s="53"/>
      <c r="D75" s="54" t="s">
        <v>20</v>
      </c>
      <c r="E75" s="53"/>
      <c r="F75" s="53"/>
      <c r="G75" s="55"/>
      <c r="H75" s="163" t="s">
        <v>12</v>
      </c>
      <c r="I75" s="164"/>
      <c r="J75" s="164"/>
      <c r="K75" s="165"/>
      <c r="L75" s="59">
        <f t="shared" ref="L75:N75" ca="1" si="38">L76+L77</f>
        <v>1206300</v>
      </c>
      <c r="M75" s="59">
        <f t="shared" ca="1" si="38"/>
        <v>1046000</v>
      </c>
      <c r="N75" s="59">
        <f t="shared" ca="1" si="38"/>
        <v>272392.45999999897</v>
      </c>
      <c r="O75" s="59">
        <f t="shared" ca="1" si="34"/>
        <v>22.580822349332582</v>
      </c>
      <c r="P75" s="59">
        <f t="shared" ca="1" si="35"/>
        <v>26.04134416825994</v>
      </c>
    </row>
    <row r="76" spans="1:16" ht="18.75" x14ac:dyDescent="0.25">
      <c r="A76" s="157"/>
      <c r="B76" s="53"/>
      <c r="C76" s="53"/>
      <c r="D76" s="53"/>
      <c r="E76" s="60" t="s">
        <v>34</v>
      </c>
      <c r="F76" s="53"/>
      <c r="G76" s="55"/>
      <c r="H76" s="163" t="s">
        <v>12</v>
      </c>
      <c r="I76" s="164"/>
      <c r="J76" s="164"/>
      <c r="K76" s="165"/>
      <c r="L76" s="59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59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59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59">
        <f t="shared" ca="1" si="34"/>
        <v>0</v>
      </c>
      <c r="P76" s="59">
        <f t="shared" ca="1" si="35"/>
        <v>0</v>
      </c>
    </row>
    <row r="77" spans="1:16" ht="18.75" x14ac:dyDescent="0.25">
      <c r="A77" s="157"/>
      <c r="B77" s="53"/>
      <c r="C77" s="53"/>
      <c r="D77" s="53"/>
      <c r="E77" s="60" t="s">
        <v>35</v>
      </c>
      <c r="F77" s="53"/>
      <c r="G77" s="55"/>
      <c r="H77" s="163" t="s">
        <v>12</v>
      </c>
      <c r="I77" s="164"/>
      <c r="J77" s="164"/>
      <c r="K77" s="165"/>
      <c r="L77" s="59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1206300)</f>
        <v>1206300</v>
      </c>
      <c r="M77" s="59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1046000)</f>
        <v>1046000</v>
      </c>
      <c r="N77" s="59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272392.459999999)</f>
        <v>272392.45999999897</v>
      </c>
      <c r="O77" s="59">
        <f t="shared" ca="1" si="34"/>
        <v>22.580822349332582</v>
      </c>
      <c r="P77" s="59">
        <f t="shared" ca="1" si="35"/>
        <v>26.04134416825994</v>
      </c>
    </row>
    <row r="78" spans="1:16" ht="18.75" x14ac:dyDescent="0.25">
      <c r="A78" s="157"/>
      <c r="B78" s="53"/>
      <c r="C78" s="53"/>
      <c r="D78" s="54" t="s">
        <v>21</v>
      </c>
      <c r="E78" s="53"/>
      <c r="F78" s="53"/>
      <c r="G78" s="55"/>
      <c r="H78" s="166" t="s">
        <v>12</v>
      </c>
      <c r="I78" s="164"/>
      <c r="J78" s="164"/>
      <c r="K78" s="165"/>
      <c r="L78" s="59">
        <f t="shared" ref="L78:N78" ca="1" si="39">L79+L80</f>
        <v>0</v>
      </c>
      <c r="M78" s="59">
        <f t="shared" ca="1" si="39"/>
        <v>0</v>
      </c>
      <c r="N78" s="59">
        <f t="shared" ca="1" si="39"/>
        <v>0</v>
      </c>
      <c r="O78" s="59">
        <f t="shared" ca="1" si="34"/>
        <v>0</v>
      </c>
      <c r="P78" s="59">
        <f t="shared" ca="1" si="35"/>
        <v>0</v>
      </c>
    </row>
    <row r="79" spans="1:16" ht="18.75" x14ac:dyDescent="0.25">
      <c r="A79" s="157"/>
      <c r="B79" s="53"/>
      <c r="C79" s="53"/>
      <c r="D79" s="53"/>
      <c r="E79" s="60" t="s">
        <v>18</v>
      </c>
      <c r="F79" s="53"/>
      <c r="G79" s="55"/>
      <c r="H79" s="163" t="s">
        <v>12</v>
      </c>
      <c r="I79" s="164"/>
      <c r="J79" s="164"/>
      <c r="K79" s="165"/>
      <c r="L79" s="59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59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59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59">
        <f t="shared" ca="1" si="34"/>
        <v>0</v>
      </c>
      <c r="P79" s="59">
        <f t="shared" ca="1" si="35"/>
        <v>0</v>
      </c>
    </row>
    <row r="80" spans="1:16" ht="18.75" x14ac:dyDescent="0.25">
      <c r="A80" s="157"/>
      <c r="B80" s="53"/>
      <c r="C80" s="53"/>
      <c r="D80" s="53"/>
      <c r="E80" s="60" t="s">
        <v>19</v>
      </c>
      <c r="F80" s="53"/>
      <c r="G80" s="55"/>
      <c r="H80" s="166" t="s">
        <v>12</v>
      </c>
      <c r="I80" s="164"/>
      <c r="J80" s="164"/>
      <c r="K80" s="165"/>
      <c r="L80" s="59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59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59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59">
        <f t="shared" ca="1" si="34"/>
        <v>0</v>
      </c>
      <c r="P80" s="59">
        <f t="shared" ca="1" si="35"/>
        <v>0</v>
      </c>
    </row>
    <row r="81" spans="1:16" ht="19.5" x14ac:dyDescent="0.3">
      <c r="A81" s="167"/>
      <c r="B81" s="168"/>
      <c r="C81" s="158" t="s">
        <v>16</v>
      </c>
      <c r="D81" s="169" t="s">
        <v>36</v>
      </c>
      <c r="E81" s="170"/>
      <c r="F81" s="170"/>
      <c r="G81" s="171"/>
      <c r="H81" s="172"/>
      <c r="I81" s="164"/>
      <c r="J81" s="164"/>
      <c r="K81" s="165"/>
      <c r="L81" s="165"/>
      <c r="M81" s="165"/>
      <c r="N81" s="165"/>
      <c r="O81" s="165"/>
      <c r="P81" s="165"/>
    </row>
    <row r="82" spans="1:16" ht="19.5" x14ac:dyDescent="0.3">
      <c r="A82" s="167"/>
      <c r="B82" s="168"/>
      <c r="C82" s="168"/>
      <c r="D82" s="173" t="s">
        <v>37</v>
      </c>
      <c r="E82" s="174"/>
      <c r="F82" s="174"/>
      <c r="G82" s="172"/>
      <c r="H82" s="175" t="s">
        <v>32</v>
      </c>
      <c r="I82" s="176">
        <f t="shared" ref="I82:J82" ca="1" si="40">I84+I86+I88</f>
        <v>2</v>
      </c>
      <c r="J82" s="176">
        <f t="shared" ca="1" si="40"/>
        <v>0</v>
      </c>
      <c r="K82" s="177">
        <f t="shared" ref="K82:K90" ca="1" si="41">IF(I82&gt;0,J82*100/I82,0)</f>
        <v>0</v>
      </c>
      <c r="L82" s="165"/>
      <c r="M82" s="165"/>
      <c r="N82" s="165"/>
      <c r="O82" s="165"/>
      <c r="P82" s="165"/>
    </row>
    <row r="83" spans="1:16" ht="19.5" x14ac:dyDescent="0.3">
      <c r="A83" s="167"/>
      <c r="B83" s="168"/>
      <c r="C83" s="168"/>
      <c r="D83" s="168"/>
      <c r="E83" s="174"/>
      <c r="F83" s="174"/>
      <c r="G83" s="172"/>
      <c r="H83" s="175" t="s">
        <v>33</v>
      </c>
      <c r="I83" s="178">
        <f t="shared" ref="I83:J83" ca="1" si="42">I85+I87+I89</f>
        <v>120</v>
      </c>
      <c r="J83" s="176">
        <f t="shared" ca="1" si="42"/>
        <v>0</v>
      </c>
      <c r="K83" s="177">
        <f t="shared" ca="1" si="41"/>
        <v>0</v>
      </c>
      <c r="L83" s="165"/>
      <c r="M83" s="165"/>
      <c r="N83" s="165"/>
      <c r="O83" s="165"/>
      <c r="P83" s="165"/>
    </row>
    <row r="84" spans="1:16" ht="18.75" x14ac:dyDescent="0.25">
      <c r="A84" s="167"/>
      <c r="B84" s="168"/>
      <c r="C84" s="168"/>
      <c r="D84" s="168"/>
      <c r="E84" s="179" t="s">
        <v>38</v>
      </c>
      <c r="F84" s="174"/>
      <c r="G84" s="172"/>
      <c r="H84" s="180" t="s">
        <v>32</v>
      </c>
      <c r="I84" s="181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0)</f>
        <v>0</v>
      </c>
      <c r="J84" s="182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0)</f>
        <v>0</v>
      </c>
      <c r="K84" s="183">
        <f t="shared" ca="1" si="41"/>
        <v>0</v>
      </c>
      <c r="L84" s="165"/>
      <c r="M84" s="165"/>
      <c r="N84" s="165"/>
      <c r="O84" s="165"/>
      <c r="P84" s="165"/>
    </row>
    <row r="85" spans="1:16" ht="18.75" x14ac:dyDescent="0.25">
      <c r="A85" s="167"/>
      <c r="B85" s="168"/>
      <c r="C85" s="168"/>
      <c r="D85" s="168"/>
      <c r="E85" s="174"/>
      <c r="F85" s="174"/>
      <c r="G85" s="172"/>
      <c r="H85" s="180" t="s">
        <v>33</v>
      </c>
      <c r="I85" s="184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0)</f>
        <v>0</v>
      </c>
      <c r="J85" s="182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0)</f>
        <v>0</v>
      </c>
      <c r="K85" s="183">
        <f t="shared" ca="1" si="41"/>
        <v>0</v>
      </c>
      <c r="L85" s="165"/>
      <c r="M85" s="165"/>
      <c r="N85" s="165"/>
      <c r="O85" s="165"/>
      <c r="P85" s="165"/>
    </row>
    <row r="86" spans="1:16" ht="18.75" x14ac:dyDescent="0.25">
      <c r="A86" s="167"/>
      <c r="B86" s="168"/>
      <c r="C86" s="168"/>
      <c r="D86" s="168"/>
      <c r="E86" s="179" t="s">
        <v>39</v>
      </c>
      <c r="F86" s="174"/>
      <c r="G86" s="172"/>
      <c r="H86" s="180" t="s">
        <v>32</v>
      </c>
      <c r="I86" s="184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0)</f>
        <v>0</v>
      </c>
      <c r="J86" s="182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0)</f>
        <v>0</v>
      </c>
      <c r="K86" s="183">
        <f t="shared" ca="1" si="41"/>
        <v>0</v>
      </c>
      <c r="L86" s="165"/>
      <c r="M86" s="165"/>
      <c r="N86" s="165"/>
      <c r="O86" s="165"/>
      <c r="P86" s="165"/>
    </row>
    <row r="87" spans="1:16" ht="18.75" x14ac:dyDescent="0.25">
      <c r="A87" s="167"/>
      <c r="B87" s="168"/>
      <c r="C87" s="168"/>
      <c r="D87" s="168"/>
      <c r="E87" s="174"/>
      <c r="F87" s="174"/>
      <c r="G87" s="172"/>
      <c r="H87" s="180" t="s">
        <v>33</v>
      </c>
      <c r="I87" s="184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0)</f>
        <v>0</v>
      </c>
      <c r="J87" s="182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0)</f>
        <v>0</v>
      </c>
      <c r="K87" s="183">
        <f t="shared" ca="1" si="41"/>
        <v>0</v>
      </c>
      <c r="L87" s="165"/>
      <c r="M87" s="165"/>
      <c r="N87" s="165"/>
      <c r="O87" s="165"/>
      <c r="P87" s="165"/>
    </row>
    <row r="88" spans="1:16" ht="18.75" x14ac:dyDescent="0.25">
      <c r="A88" s="167"/>
      <c r="B88" s="168"/>
      <c r="C88" s="168"/>
      <c r="D88" s="168"/>
      <c r="E88" s="179" t="s">
        <v>40</v>
      </c>
      <c r="F88" s="174"/>
      <c r="G88" s="172"/>
      <c r="H88" s="180" t="s">
        <v>32</v>
      </c>
      <c r="I88" s="184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182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0)</f>
        <v>0</v>
      </c>
      <c r="K88" s="183">
        <f t="shared" ca="1" si="41"/>
        <v>0</v>
      </c>
      <c r="L88" s="165"/>
      <c r="M88" s="165"/>
      <c r="N88" s="165"/>
      <c r="O88" s="165"/>
      <c r="P88" s="165"/>
    </row>
    <row r="89" spans="1:16" ht="18.75" x14ac:dyDescent="0.25">
      <c r="A89" s="167"/>
      <c r="B89" s="168"/>
      <c r="C89" s="168"/>
      <c r="D89" s="168"/>
      <c r="E89" s="174"/>
      <c r="F89" s="174"/>
      <c r="G89" s="172"/>
      <c r="H89" s="180" t="s">
        <v>33</v>
      </c>
      <c r="I89" s="184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182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0)</f>
        <v>0</v>
      </c>
      <c r="K89" s="183">
        <f t="shared" ca="1" si="41"/>
        <v>0</v>
      </c>
      <c r="L89" s="165"/>
      <c r="M89" s="165"/>
      <c r="N89" s="165"/>
      <c r="O89" s="165"/>
      <c r="P89" s="165"/>
    </row>
    <row r="90" spans="1:16" ht="18.75" x14ac:dyDescent="0.25">
      <c r="A90" s="167"/>
      <c r="B90" s="168"/>
      <c r="C90" s="168"/>
      <c r="D90" s="173" t="s">
        <v>41</v>
      </c>
      <c r="E90" s="174"/>
      <c r="F90" s="174"/>
      <c r="G90" s="172"/>
      <c r="H90" s="185" t="s">
        <v>32</v>
      </c>
      <c r="I90" s="184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2)</f>
        <v>2</v>
      </c>
      <c r="J90" s="182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0)</f>
        <v>0</v>
      </c>
      <c r="K90" s="183">
        <f t="shared" ca="1" si="41"/>
        <v>0</v>
      </c>
      <c r="L90" s="165"/>
      <c r="M90" s="165"/>
      <c r="N90" s="165"/>
      <c r="O90" s="165"/>
      <c r="P90" s="165"/>
    </row>
    <row r="91" spans="1:16" ht="19.5" x14ac:dyDescent="0.3">
      <c r="A91" s="146" t="s">
        <v>42</v>
      </c>
      <c r="B91" s="147"/>
      <c r="C91" s="148"/>
      <c r="D91" s="147"/>
      <c r="E91" s="147"/>
      <c r="F91" s="147"/>
      <c r="G91" s="149"/>
      <c r="H91" s="149"/>
      <c r="I91" s="150"/>
      <c r="J91" s="150"/>
      <c r="K91" s="151"/>
      <c r="L91" s="151"/>
      <c r="M91" s="151"/>
      <c r="N91" s="151"/>
      <c r="O91" s="151"/>
      <c r="P91" s="151"/>
    </row>
    <row r="92" spans="1:16" ht="19.5" x14ac:dyDescent="0.3">
      <c r="A92" s="152"/>
      <c r="B92" s="153" t="s">
        <v>43</v>
      </c>
      <c r="C92" s="41"/>
      <c r="D92" s="154"/>
      <c r="E92" s="41"/>
      <c r="F92" s="41"/>
      <c r="G92" s="44"/>
      <c r="H92" s="155" t="s">
        <v>44</v>
      </c>
      <c r="I92" s="156">
        <f t="shared" ref="I92:J92" ca="1" si="43">I108</f>
        <v>93</v>
      </c>
      <c r="J92" s="156">
        <f t="shared" ca="1" si="43"/>
        <v>0</v>
      </c>
      <c r="K92" s="48">
        <f t="shared" ref="K92:K93" ca="1" si="44">IF(I92&gt;0,J92*100/I92,0)</f>
        <v>0</v>
      </c>
      <c r="L92" s="47"/>
      <c r="M92" s="47"/>
      <c r="N92" s="47"/>
      <c r="O92" s="47"/>
      <c r="P92" s="47"/>
    </row>
    <row r="93" spans="1:16" ht="19.5" x14ac:dyDescent="0.3">
      <c r="A93" s="152"/>
      <c r="B93" s="41"/>
      <c r="C93" s="41"/>
      <c r="D93" s="154"/>
      <c r="E93" s="41"/>
      <c r="F93" s="41"/>
      <c r="G93" s="44"/>
      <c r="H93" s="155" t="s">
        <v>33</v>
      </c>
      <c r="I93" s="156">
        <f t="shared" ref="I93:J93" ca="1" si="45">I109</f>
        <v>31</v>
      </c>
      <c r="J93" s="156">
        <f t="shared" ca="1" si="45"/>
        <v>0</v>
      </c>
      <c r="K93" s="48">
        <f t="shared" ca="1" si="44"/>
        <v>0</v>
      </c>
      <c r="L93" s="47"/>
      <c r="M93" s="47"/>
      <c r="N93" s="47"/>
      <c r="O93" s="47"/>
      <c r="P93" s="47"/>
    </row>
    <row r="94" spans="1:16" ht="19.5" x14ac:dyDescent="0.3">
      <c r="A94" s="157"/>
      <c r="B94" s="53"/>
      <c r="C94" s="158" t="s">
        <v>16</v>
      </c>
      <c r="D94" s="159" t="s">
        <v>17</v>
      </c>
      <c r="E94" s="53"/>
      <c r="F94" s="53"/>
      <c r="G94" s="55"/>
      <c r="H94" s="160" t="s">
        <v>12</v>
      </c>
      <c r="I94" s="57"/>
      <c r="J94" s="57"/>
      <c r="K94" s="58"/>
      <c r="L94" s="161">
        <f t="shared" ref="L94:N94" ca="1" si="46">L95+L96</f>
        <v>205600</v>
      </c>
      <c r="M94" s="161">
        <f t="shared" ca="1" si="46"/>
        <v>183900</v>
      </c>
      <c r="N94" s="161">
        <f t="shared" ca="1" si="46"/>
        <v>112954</v>
      </c>
      <c r="O94" s="161">
        <f t="shared" ref="O94:O102" ca="1" si="47">IF(L94&gt;0,N94*100/L94,0)</f>
        <v>54.938715953307394</v>
      </c>
      <c r="P94" s="161">
        <f t="shared" ref="P94:P102" ca="1" si="48">IF(M94&gt;0,N94*100/M94,0)</f>
        <v>61.421424687330074</v>
      </c>
    </row>
    <row r="95" spans="1:16" ht="18.75" x14ac:dyDescent="0.25">
      <c r="A95" s="157"/>
      <c r="B95" s="53"/>
      <c r="C95" s="53"/>
      <c r="D95" s="53"/>
      <c r="E95" s="60" t="s">
        <v>18</v>
      </c>
      <c r="F95" s="53"/>
      <c r="G95" s="55"/>
      <c r="H95" s="162" t="s">
        <v>12</v>
      </c>
      <c r="I95" s="57"/>
      <c r="J95" s="57"/>
      <c r="K95" s="58"/>
      <c r="L95" s="59">
        <f t="shared" ref="L95:N95" ca="1" si="49">L98+L101</f>
        <v>0</v>
      </c>
      <c r="M95" s="59">
        <f t="shared" ca="1" si="49"/>
        <v>0</v>
      </c>
      <c r="N95" s="59">
        <f t="shared" ca="1" si="49"/>
        <v>0</v>
      </c>
      <c r="O95" s="59">
        <f t="shared" ca="1" si="47"/>
        <v>0</v>
      </c>
      <c r="P95" s="59">
        <f t="shared" ca="1" si="48"/>
        <v>0</v>
      </c>
    </row>
    <row r="96" spans="1:16" ht="18.75" x14ac:dyDescent="0.25">
      <c r="A96" s="157"/>
      <c r="B96" s="53"/>
      <c r="C96" s="53"/>
      <c r="D96" s="53"/>
      <c r="E96" s="60" t="s">
        <v>19</v>
      </c>
      <c r="F96" s="53"/>
      <c r="G96" s="55"/>
      <c r="H96" s="162" t="s">
        <v>12</v>
      </c>
      <c r="I96" s="57"/>
      <c r="J96" s="57"/>
      <c r="K96" s="58"/>
      <c r="L96" s="59">
        <f t="shared" ref="L96:N96" ca="1" si="50">L99+L102</f>
        <v>205600</v>
      </c>
      <c r="M96" s="59">
        <f t="shared" ca="1" si="50"/>
        <v>183900</v>
      </c>
      <c r="N96" s="59">
        <f t="shared" ca="1" si="50"/>
        <v>112954</v>
      </c>
      <c r="O96" s="59">
        <f t="shared" ca="1" si="47"/>
        <v>54.938715953307394</v>
      </c>
      <c r="P96" s="59">
        <f t="shared" ca="1" si="48"/>
        <v>61.421424687330074</v>
      </c>
    </row>
    <row r="97" spans="1:16" ht="18.75" x14ac:dyDescent="0.25">
      <c r="A97" s="157"/>
      <c r="B97" s="53"/>
      <c r="C97" s="53"/>
      <c r="D97" s="54" t="s">
        <v>20</v>
      </c>
      <c r="E97" s="53"/>
      <c r="F97" s="53"/>
      <c r="G97" s="55"/>
      <c r="H97" s="163" t="s">
        <v>12</v>
      </c>
      <c r="I97" s="164"/>
      <c r="J97" s="164"/>
      <c r="K97" s="165"/>
      <c r="L97" s="59">
        <f t="shared" ref="L97:N97" ca="1" si="51">L98+L99</f>
        <v>205600</v>
      </c>
      <c r="M97" s="59">
        <f t="shared" ca="1" si="51"/>
        <v>183900</v>
      </c>
      <c r="N97" s="59">
        <f t="shared" ca="1" si="51"/>
        <v>112954</v>
      </c>
      <c r="O97" s="59">
        <f t="shared" ca="1" si="47"/>
        <v>54.938715953307394</v>
      </c>
      <c r="P97" s="59">
        <f t="shared" ca="1" si="48"/>
        <v>61.421424687330074</v>
      </c>
    </row>
    <row r="98" spans="1:16" ht="18.75" x14ac:dyDescent="0.25">
      <c r="A98" s="157"/>
      <c r="B98" s="53"/>
      <c r="C98" s="53"/>
      <c r="D98" s="53"/>
      <c r="E98" s="60" t="s">
        <v>34</v>
      </c>
      <c r="F98" s="53"/>
      <c r="G98" s="55"/>
      <c r="H98" s="163" t="s">
        <v>12</v>
      </c>
      <c r="I98" s="164"/>
      <c r="J98" s="164"/>
      <c r="K98" s="165"/>
      <c r="L98" s="59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59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59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59">
        <f t="shared" ca="1" si="47"/>
        <v>0</v>
      </c>
      <c r="P98" s="59">
        <f t="shared" ca="1" si="48"/>
        <v>0</v>
      </c>
    </row>
    <row r="99" spans="1:16" ht="18.75" x14ac:dyDescent="0.25">
      <c r="A99" s="157"/>
      <c r="B99" s="53"/>
      <c r="C99" s="53"/>
      <c r="D99" s="53"/>
      <c r="E99" s="60" t="s">
        <v>35</v>
      </c>
      <c r="F99" s="53"/>
      <c r="G99" s="55"/>
      <c r="H99" s="163" t="s">
        <v>12</v>
      </c>
      <c r="I99" s="164"/>
      <c r="J99" s="164"/>
      <c r="K99" s="165"/>
      <c r="L99" s="59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99" s="59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183900)</f>
        <v>183900</v>
      </c>
      <c r="N99" s="59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112954)</f>
        <v>112954</v>
      </c>
      <c r="O99" s="59">
        <f t="shared" ca="1" si="47"/>
        <v>54.938715953307394</v>
      </c>
      <c r="P99" s="59">
        <f t="shared" ca="1" si="48"/>
        <v>61.421424687330074</v>
      </c>
    </row>
    <row r="100" spans="1:16" ht="18.75" x14ac:dyDescent="0.25">
      <c r="A100" s="157"/>
      <c r="B100" s="53"/>
      <c r="C100" s="53"/>
      <c r="D100" s="54" t="s">
        <v>21</v>
      </c>
      <c r="E100" s="53"/>
      <c r="F100" s="53"/>
      <c r="G100" s="55"/>
      <c r="H100" s="166" t="s">
        <v>12</v>
      </c>
      <c r="I100" s="164"/>
      <c r="J100" s="164"/>
      <c r="K100" s="165"/>
      <c r="L100" s="59">
        <f t="shared" ref="L100:N100" ca="1" si="52">L101+L102</f>
        <v>0</v>
      </c>
      <c r="M100" s="59">
        <f t="shared" ca="1" si="52"/>
        <v>0</v>
      </c>
      <c r="N100" s="59">
        <f t="shared" ca="1" si="52"/>
        <v>0</v>
      </c>
      <c r="O100" s="59">
        <f t="shared" ca="1" si="47"/>
        <v>0</v>
      </c>
      <c r="P100" s="59">
        <f t="shared" ca="1" si="48"/>
        <v>0</v>
      </c>
    </row>
    <row r="101" spans="1:16" ht="18.75" x14ac:dyDescent="0.25">
      <c r="A101" s="157"/>
      <c r="B101" s="53"/>
      <c r="C101" s="53"/>
      <c r="D101" s="53"/>
      <c r="E101" s="60" t="s">
        <v>18</v>
      </c>
      <c r="F101" s="53"/>
      <c r="G101" s="55"/>
      <c r="H101" s="163" t="s">
        <v>12</v>
      </c>
      <c r="I101" s="164"/>
      <c r="J101" s="164"/>
      <c r="K101" s="165"/>
      <c r="L101" s="59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59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59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59">
        <f t="shared" ca="1" si="47"/>
        <v>0</v>
      </c>
      <c r="P101" s="59">
        <f t="shared" ca="1" si="48"/>
        <v>0</v>
      </c>
    </row>
    <row r="102" spans="1:16" ht="18.75" x14ac:dyDescent="0.25">
      <c r="A102" s="157"/>
      <c r="B102" s="53"/>
      <c r="C102" s="53"/>
      <c r="D102" s="53"/>
      <c r="E102" s="60" t="s">
        <v>19</v>
      </c>
      <c r="F102" s="53"/>
      <c r="G102" s="55"/>
      <c r="H102" s="166" t="s">
        <v>12</v>
      </c>
      <c r="I102" s="164"/>
      <c r="J102" s="164"/>
      <c r="K102" s="165"/>
      <c r="L102" s="59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59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59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59">
        <f t="shared" ca="1" si="47"/>
        <v>0</v>
      </c>
      <c r="P102" s="59">
        <f t="shared" ca="1" si="48"/>
        <v>0</v>
      </c>
    </row>
    <row r="103" spans="1:16" ht="19.5" x14ac:dyDescent="0.3">
      <c r="A103" s="167"/>
      <c r="B103" s="168"/>
      <c r="C103" s="158" t="s">
        <v>16</v>
      </c>
      <c r="D103" s="169" t="s">
        <v>36</v>
      </c>
      <c r="E103" s="170"/>
      <c r="F103" s="170"/>
      <c r="G103" s="171"/>
      <c r="H103" s="172"/>
      <c r="I103" s="164"/>
      <c r="J103" s="57"/>
      <c r="K103" s="58"/>
      <c r="L103" s="58"/>
      <c r="M103" s="58"/>
      <c r="N103" s="58"/>
      <c r="O103" s="165"/>
      <c r="P103" s="165"/>
    </row>
    <row r="104" spans="1:16" ht="18.75" hidden="1" x14ac:dyDescent="0.25">
      <c r="A104" s="186"/>
      <c r="B104" s="187"/>
      <c r="C104" s="187"/>
      <c r="D104" s="188"/>
      <c r="E104" s="189"/>
      <c r="F104" s="189"/>
      <c r="G104" s="190"/>
      <c r="H104" s="191"/>
      <c r="I104" s="192"/>
      <c r="J104" s="192"/>
      <c r="K104" s="193"/>
      <c r="L104" s="23"/>
      <c r="M104" s="23"/>
      <c r="N104" s="23"/>
      <c r="O104" s="23"/>
      <c r="P104" s="23"/>
    </row>
    <row r="105" spans="1:16" ht="18.75" hidden="1" x14ac:dyDescent="0.25">
      <c r="A105" s="186"/>
      <c r="B105" s="187"/>
      <c r="C105" s="187"/>
      <c r="D105" s="188"/>
      <c r="E105" s="189"/>
      <c r="F105" s="189"/>
      <c r="G105" s="190"/>
      <c r="H105" s="191"/>
      <c r="I105" s="192"/>
      <c r="J105" s="192"/>
      <c r="K105" s="193"/>
      <c r="L105" s="23"/>
      <c r="M105" s="23"/>
      <c r="N105" s="23"/>
      <c r="O105" s="23"/>
      <c r="P105" s="23"/>
    </row>
    <row r="106" spans="1:16" ht="18.75" hidden="1" x14ac:dyDescent="0.25">
      <c r="A106" s="186"/>
      <c r="B106" s="187"/>
      <c r="C106" s="187"/>
      <c r="D106" s="187"/>
      <c r="E106" s="189"/>
      <c r="F106" s="189"/>
      <c r="G106" s="190"/>
      <c r="H106" s="191"/>
      <c r="I106" s="192"/>
      <c r="J106" s="192"/>
      <c r="K106" s="193"/>
      <c r="L106" s="23"/>
      <c r="M106" s="23"/>
      <c r="N106" s="23"/>
      <c r="O106" s="23"/>
      <c r="P106" s="23"/>
    </row>
    <row r="107" spans="1:16" ht="19.5" x14ac:dyDescent="0.3">
      <c r="A107" s="167"/>
      <c r="B107" s="168"/>
      <c r="C107" s="168"/>
      <c r="D107" s="194" t="s">
        <v>45</v>
      </c>
      <c r="F107" s="174"/>
      <c r="G107" s="172"/>
      <c r="H107" s="55"/>
      <c r="I107" s="57"/>
      <c r="J107" s="57"/>
      <c r="K107" s="58"/>
      <c r="L107" s="58"/>
      <c r="M107" s="58"/>
      <c r="N107" s="58"/>
      <c r="O107" s="165"/>
      <c r="P107" s="165"/>
    </row>
    <row r="108" spans="1:16" ht="18.75" x14ac:dyDescent="0.25">
      <c r="A108" s="167"/>
      <c r="B108" s="168"/>
      <c r="C108" s="168"/>
      <c r="D108" s="195" t="s">
        <v>46</v>
      </c>
      <c r="E108" s="195"/>
      <c r="F108" s="174"/>
      <c r="G108" s="172"/>
      <c r="H108" s="56" t="s">
        <v>44</v>
      </c>
      <c r="I108" s="196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93)</f>
        <v>93</v>
      </c>
      <c r="J108" s="182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0)</f>
        <v>0</v>
      </c>
      <c r="K108" s="59">
        <f t="shared" ref="K108:K109" ca="1" si="53">IF(I108&gt;0,J108*100/I108,0)</f>
        <v>0</v>
      </c>
      <c r="L108" s="58"/>
      <c r="M108" s="58"/>
      <c r="N108" s="58"/>
      <c r="O108" s="165"/>
      <c r="P108" s="165"/>
    </row>
    <row r="109" spans="1:16" ht="18.75" x14ac:dyDescent="0.25">
      <c r="A109" s="167"/>
      <c r="B109" s="168"/>
      <c r="C109" s="168"/>
      <c r="D109" s="179" t="s">
        <v>47</v>
      </c>
      <c r="E109" s="179"/>
      <c r="F109" s="174"/>
      <c r="G109" s="172"/>
      <c r="H109" s="56" t="s">
        <v>33</v>
      </c>
      <c r="I109" s="196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31)</f>
        <v>31</v>
      </c>
      <c r="J109" s="182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0)</f>
        <v>0</v>
      </c>
      <c r="K109" s="59">
        <f t="shared" ca="1" si="53"/>
        <v>0</v>
      </c>
      <c r="L109" s="58"/>
      <c r="M109" s="58"/>
      <c r="N109" s="58"/>
      <c r="O109" s="165"/>
      <c r="P109" s="165"/>
    </row>
    <row r="110" spans="1:16" ht="19.5" hidden="1" x14ac:dyDescent="0.3">
      <c r="A110" s="186"/>
      <c r="B110" s="187"/>
      <c r="C110" s="187"/>
      <c r="D110" s="189"/>
      <c r="E110" s="197"/>
      <c r="F110" s="189"/>
      <c r="G110" s="190"/>
      <c r="H110" s="190"/>
      <c r="I110" s="198"/>
      <c r="J110" s="199"/>
      <c r="K110" s="200"/>
      <c r="L110" s="23"/>
      <c r="M110" s="23"/>
      <c r="N110" s="23"/>
      <c r="O110" s="23"/>
      <c r="P110" s="23"/>
    </row>
    <row r="111" spans="1:16" ht="18.75" hidden="1" x14ac:dyDescent="0.25">
      <c r="A111" s="186"/>
      <c r="B111" s="187"/>
      <c r="C111" s="187"/>
      <c r="D111" s="189"/>
      <c r="E111" s="188"/>
      <c r="F111" s="189"/>
      <c r="G111" s="190"/>
      <c r="H111" s="191"/>
      <c r="I111" s="192"/>
      <c r="J111" s="201"/>
      <c r="K111" s="193"/>
      <c r="L111" s="23"/>
      <c r="M111" s="23"/>
      <c r="N111" s="23"/>
      <c r="O111" s="23"/>
      <c r="P111" s="23"/>
    </row>
    <row r="112" spans="1:16" ht="18.75" hidden="1" x14ac:dyDescent="0.25">
      <c r="A112" s="186"/>
      <c r="B112" s="187"/>
      <c r="C112" s="187"/>
      <c r="D112" s="189"/>
      <c r="E112" s="202"/>
      <c r="F112" s="189"/>
      <c r="G112" s="190"/>
      <c r="H112" s="191"/>
      <c r="I112" s="192"/>
      <c r="J112" s="201"/>
      <c r="K112" s="193"/>
      <c r="L112" s="23"/>
      <c r="M112" s="23"/>
      <c r="N112" s="23"/>
      <c r="O112" s="23"/>
      <c r="P112" s="23"/>
    </row>
    <row r="113" spans="1:16" ht="19.5" hidden="1" x14ac:dyDescent="0.3">
      <c r="A113" s="186"/>
      <c r="B113" s="187"/>
      <c r="C113" s="187"/>
      <c r="D113" s="189"/>
      <c r="E113" s="197"/>
      <c r="F113" s="189"/>
      <c r="G113" s="190"/>
      <c r="H113" s="190"/>
      <c r="I113" s="198"/>
      <c r="J113" s="199"/>
      <c r="K113" s="200"/>
      <c r="L113" s="23"/>
      <c r="M113" s="23"/>
      <c r="N113" s="23"/>
      <c r="O113" s="23"/>
      <c r="P113" s="23"/>
    </row>
    <row r="114" spans="1:16" ht="18.75" hidden="1" x14ac:dyDescent="0.25">
      <c r="A114" s="186"/>
      <c r="B114" s="187"/>
      <c r="C114" s="187"/>
      <c r="D114" s="189"/>
      <c r="E114" s="188"/>
      <c r="F114" s="189"/>
      <c r="G114" s="190"/>
      <c r="H114" s="191"/>
      <c r="I114" s="192"/>
      <c r="J114" s="201"/>
      <c r="K114" s="193"/>
      <c r="L114" s="23"/>
      <c r="M114" s="23"/>
      <c r="N114" s="23"/>
      <c r="O114" s="23"/>
      <c r="P114" s="23"/>
    </row>
    <row r="115" spans="1:16" ht="18.75" hidden="1" x14ac:dyDescent="0.25">
      <c r="A115" s="186"/>
      <c r="B115" s="187"/>
      <c r="C115" s="187"/>
      <c r="D115" s="189"/>
      <c r="E115" s="203"/>
      <c r="F115" s="189"/>
      <c r="G115" s="190"/>
      <c r="H115" s="191"/>
      <c r="I115" s="192"/>
      <c r="J115" s="201"/>
      <c r="K115" s="193"/>
      <c r="L115" s="23"/>
      <c r="M115" s="23"/>
      <c r="N115" s="23"/>
      <c r="O115" s="23"/>
      <c r="P115" s="23"/>
    </row>
    <row r="116" spans="1:16" ht="18.75" hidden="1" x14ac:dyDescent="0.25">
      <c r="A116" s="186"/>
      <c r="B116" s="187"/>
      <c r="C116" s="187"/>
      <c r="D116" s="189"/>
      <c r="E116" s="203"/>
      <c r="F116" s="189"/>
      <c r="G116" s="190"/>
      <c r="H116" s="191"/>
      <c r="I116" s="192"/>
      <c r="J116" s="201"/>
      <c r="K116" s="193"/>
      <c r="L116" s="23"/>
      <c r="M116" s="23"/>
      <c r="N116" s="23"/>
      <c r="O116" s="23"/>
      <c r="P116" s="23"/>
    </row>
    <row r="117" spans="1:16" ht="18.75" x14ac:dyDescent="0.25">
      <c r="A117" s="167"/>
      <c r="B117" s="168"/>
      <c r="C117" s="168"/>
      <c r="D117" s="195" t="s">
        <v>48</v>
      </c>
      <c r="E117" s="174"/>
      <c r="F117" s="174"/>
      <c r="G117" s="172"/>
      <c r="H117" s="180" t="s">
        <v>33</v>
      </c>
      <c r="I117" s="184">
        <f ca="1">IFERROR(__xludf.DUMMYFUNCTION("IMPORTRANGE(""https://docs.google.com/spreadsheets/d/13wPX838HrBrQMCywv1BsuMkt4PEKTChp52zj44s2izQ/edit?usp=sharing"",""กาญจนบุรี!I117"")+IMPORTRANGE(""https://docs.google.com/spreadsheets/d/1ddFKvqj1W1NEiWytbGlB1zMx_ykJDVtmfEQ-6-lIUBA/edit?usp=sharing"","&amp;"""จันทบุรี!I117"")+IMPORTRANGE(""https://docs.google.com/spreadsheets/d/1T1PQvRODqOBZk8BRht_U031fIS1beLA0Ub2CEytj2q0/edit?usp=sharing"",""ฉะเชิงเทรา!I117"")+IMPORTRANGE(""https://docs.google.com/spreadsheets/d/11tr1B-Bhyr79v2bkwVh5h_fR-PStkgjlZtkrZpYurG0/"&amp;"edit?usp=sharing"",""ชลบุรี!I117"")+IMPORTRANGE(""https://docs.google.com/spreadsheets/d/1hh-FVnSX0vozXhGluamEcS54Dw9_zqW0N7qJUWgJ0Sw/edit?usp=sharing"",""ชัยนาท!I117"")+IMPORTRANGE(""https://docs.google.com/spreadsheets/d/1jkqa6GXxSacMcY1eN8AHjMNJ_7dDXMJ"&amp;"VRLDlaFSOdPM/edit?usp=sharing"",""ตราด!I117"")+IMPORTRANGE(""https://docs.google.com/spreadsheets/d/18hSgUJ3VwClqi_qtULmmW3cLr0oe3OKaSYoKzdpTsYQ/edit?usp=sharing"",""นครนายก!I117"")+IMPORTRANGE(""https://docs.google.com/spreadsheets/d/1YTZo6WM2dQ6Ix6FSdnL"&amp;"5P7uVnVKu40sxZu975tgG10E/edit?usp=sharing"",""นครปฐม!I117"")+IMPORTRANGE(""https://docs.google.com/spreadsheets/d/1OYoGg4WDg5RIzwGeB10padOxJF9E_Vljuvvct_M7RDo/edit?usp=sharing"",""ปทุมธานี!I117"")+IMPORTRANGE(""https://docs.google.com/spreadsheets/d/1GbCI"&amp;"E4D4wk9FUozzqk7SxfDMxDVBwVmI5zcaVUSzKAc/edit?usp=sharing"",""ประจวบคีรีขันธ์!I117"")+IMPORTRANGE(""https://docs.google.com/spreadsheets/d/1vVf6wykvW_lAyu7Yo9L4hUTqHqIeP_qcVuxCtosJEbg/edit?usp=sharing"",""ปราจีนบุรี!I117"")+IMPORTRANGE(""https://docs.googl"&amp;"e.com/spreadsheets/d/1BIDqLLg5jk3v59G8NlR8rk5xfQDKne0sAvZHSj7TI6I/edit?usp=sharing"",""พระนครศรีอยุธยา!I117"")+IMPORTRANGE(""https://docs.google.com/spreadsheets/d/1YXvxf8Yu6_rV4hTBrwMqAcAnv6DfhUxh5emyM3CJp_w/edit?usp=sharing"",""เพชรบุรี!I117"")+IMPORTRA"&amp;"NGE(""https://docs.google.com/spreadsheets/d/19KBlQQs7uwvsao6t2n-KvW3Ax8J8uRRfZPq1zPbXgKc/edit?usp=sharing"",""ระยอง!I117"")+IMPORTRANGE(""https://docs.google.com/spreadsheets/d/1jQ6P4QcrGM89YfqcC_PxOHGCMq5ezhucwJd8ci-NHng/edit?usp=sharing"",""ราชบุรี!I11"&amp;"7"")+IMPORTRANGE(""https://docs.google.com/spreadsheets/d/1lufeA2cfFqM-elVq2hznhDzC6Pr7wkJ9ZG_sYNGCMCU/edit?usp=sharing"",""ลพบุรี!I117"")+IMPORTRANGE(""https://docs.google.com/spreadsheets/d/10oOiF7loTyfsTkbd4MpaIm0HQ9SwB7IYHdIUvt-U1Uc/edit?usp=sharing"""&amp;",""สระแก้ว!I117"")+IMPORTRANGE(""https://docs.google.com/spreadsheets/d/1xmPlrr1QbdSIKvl1dWUl9K4PjAfSL9oeMr_37QVzcxc/edit?usp=sharing"",""สระบุรี!I117"")+IMPORTRANGE(""https://docs.google.com/spreadsheets/d/1j51vR6CYVGhABJpv6tkstgok82RLpXieLzW1yOY5rHw/edi"&amp;"t?usp=sharing"",""สิงห์บุรี!I117"")+IMPORTRANGE(""https://docs.google.com/spreadsheets/d/1H1EalTWKUSzO4Z1-1CwzoDUaVffgrThEBe2sl74kKG0/edit?usp=sharing"",""สุพรรณบุรี!I117"")+IMPORTRANGE(""https://docs.google.com/spreadsheets/d/1BmIruG_sIrJLYao_Pdr7zVArWsf"&amp;"oBt2692TMi6x_854/edit?usp=sharing"",""อ่างทอง!I117"")"),31)</f>
        <v>31</v>
      </c>
      <c r="J117" s="182">
        <f ca="1">IFERROR(__xludf.DUMMYFUNCTION("IMPORTRANGE(""https://docs.google.com/spreadsheets/d/13wPX838HrBrQMCywv1BsuMkt4PEKTChp52zj44s2izQ/edit?usp=sharing"",""กาญจนบุรี!J117"")+IMPORTRANGE(""https://docs.google.com/spreadsheets/d/1ddFKvqj1W1NEiWytbGlB1zMx_ykJDVtmfEQ-6-lIUBA/edit?usp=sharing"","&amp;"""จันทบุรี!J117"")+IMPORTRANGE(""https://docs.google.com/spreadsheets/d/1T1PQvRODqOBZk8BRht_U031fIS1beLA0Ub2CEytj2q0/edit?usp=sharing"",""ฉะเชิงเทรา!J117"")+IMPORTRANGE(""https://docs.google.com/spreadsheets/d/11tr1B-Bhyr79v2bkwVh5h_fR-PStkgjlZtkrZpYurG0/"&amp;"edit?usp=sharing"",""ชลบุรี!J117"")+IMPORTRANGE(""https://docs.google.com/spreadsheets/d/1hh-FVnSX0vozXhGluamEcS54Dw9_zqW0N7qJUWgJ0Sw/edit?usp=sharing"",""ชัยนาท!J117"")+IMPORTRANGE(""https://docs.google.com/spreadsheets/d/1jkqa6GXxSacMcY1eN8AHjMNJ_7dDXMJ"&amp;"VRLDlaFSOdPM/edit?usp=sharing"",""ตราด!J117"")+IMPORTRANGE(""https://docs.google.com/spreadsheets/d/18hSgUJ3VwClqi_qtULmmW3cLr0oe3OKaSYoKzdpTsYQ/edit?usp=sharing"",""นครนายก!J117"")+IMPORTRANGE(""https://docs.google.com/spreadsheets/d/1YTZo6WM2dQ6Ix6FSdnL"&amp;"5P7uVnVKu40sxZu975tgG10E/edit?usp=sharing"",""นครปฐม!J117"")+IMPORTRANGE(""https://docs.google.com/spreadsheets/d/1OYoGg4WDg5RIzwGeB10padOxJF9E_Vljuvvct_M7RDo/edit?usp=sharing"",""ปทุมธานี!J117"")+IMPORTRANGE(""https://docs.google.com/spreadsheets/d/1GbCI"&amp;"E4D4wk9FUozzqk7SxfDMxDVBwVmI5zcaVUSzKAc/edit?usp=sharing"",""ประจวบคีรีขันธ์!J117"")+IMPORTRANGE(""https://docs.google.com/spreadsheets/d/1vVf6wykvW_lAyu7Yo9L4hUTqHqIeP_qcVuxCtosJEbg/edit?usp=sharing"",""ปราจีนบุรี!J117"")+IMPORTRANGE(""https://docs.googl"&amp;"e.com/spreadsheets/d/1BIDqLLg5jk3v59G8NlR8rk5xfQDKne0sAvZHSj7TI6I/edit?usp=sharing"",""พระนครศรีอยุธยา!J117"")+IMPORTRANGE(""https://docs.google.com/spreadsheets/d/1YXvxf8Yu6_rV4hTBrwMqAcAnv6DfhUxh5emyM3CJp_w/edit?usp=sharing"",""เพชรบุรี!J117"")+IMPORTRA"&amp;"NGE(""https://docs.google.com/spreadsheets/d/19KBlQQs7uwvsao6t2n-KvW3Ax8J8uRRfZPq1zPbXgKc/edit?usp=sharing"",""ระยอง!J117"")+IMPORTRANGE(""https://docs.google.com/spreadsheets/d/1jQ6P4QcrGM89YfqcC_PxOHGCMq5ezhucwJd8ci-NHng/edit?usp=sharing"",""ราชบุรี!J11"&amp;"7"")+IMPORTRANGE(""https://docs.google.com/spreadsheets/d/1lufeA2cfFqM-elVq2hznhDzC6Pr7wkJ9ZG_sYNGCMCU/edit?usp=sharing"",""ลพบุรี!J117"")+IMPORTRANGE(""https://docs.google.com/spreadsheets/d/10oOiF7loTyfsTkbd4MpaIm0HQ9SwB7IYHdIUvt-U1Uc/edit?usp=sharing"""&amp;",""สระแก้ว!J117"")+IMPORTRANGE(""https://docs.google.com/spreadsheets/d/1xmPlrr1QbdSIKvl1dWUl9K4PjAfSL9oeMr_37QVzcxc/edit?usp=sharing"",""สระบุรี!J117"")+IMPORTRANGE(""https://docs.google.com/spreadsheets/d/1j51vR6CYVGhABJpv6tkstgok82RLpXieLzW1yOY5rHw/edi"&amp;"t?usp=sharing"",""สิงห์บุรี!J117"")+IMPORTRANGE(""https://docs.google.com/spreadsheets/d/1H1EalTWKUSzO4Z1-1CwzoDUaVffgrThEBe2sl74kKG0/edit?usp=sharing"",""สุพรรณบุรี!J117"")+IMPORTRANGE(""https://docs.google.com/spreadsheets/d/1BmIruG_sIrJLYao_Pdr7zVArWsf"&amp;"oBt2692TMi6x_854/edit?usp=sharing"",""อ่างทอง!J117"")"),0)</f>
        <v>0</v>
      </c>
      <c r="K117" s="59">
        <f ca="1">IF(I117&gt;0,J117*100/I117,0)</f>
        <v>0</v>
      </c>
      <c r="L117" s="58"/>
      <c r="M117" s="58"/>
      <c r="N117" s="58"/>
      <c r="O117" s="165"/>
      <c r="P117" s="165"/>
    </row>
    <row r="118" spans="1:16" ht="19.5" hidden="1" x14ac:dyDescent="0.3">
      <c r="A118" s="186"/>
      <c r="B118" s="187"/>
      <c r="C118" s="187"/>
      <c r="D118" s="187"/>
      <c r="E118" s="189"/>
      <c r="F118" s="189"/>
      <c r="G118" s="190"/>
      <c r="H118" s="204"/>
      <c r="I118" s="205"/>
      <c r="J118" s="205"/>
      <c r="K118" s="206"/>
      <c r="L118" s="23"/>
      <c r="M118" s="23"/>
      <c r="N118" s="23"/>
      <c r="O118" s="23"/>
      <c r="P118" s="23"/>
    </row>
    <row r="119" spans="1:16" ht="18.75" hidden="1" x14ac:dyDescent="0.25">
      <c r="A119" s="186"/>
      <c r="B119" s="187"/>
      <c r="C119" s="187"/>
      <c r="D119" s="187"/>
      <c r="E119" s="188"/>
      <c r="F119" s="189"/>
      <c r="G119" s="190"/>
      <c r="H119" s="191"/>
      <c r="I119" s="192"/>
      <c r="J119" s="192"/>
      <c r="K119" s="193"/>
      <c r="L119" s="23"/>
      <c r="M119" s="23"/>
      <c r="N119" s="23"/>
      <c r="O119" s="23"/>
      <c r="P119" s="23"/>
    </row>
    <row r="120" spans="1:16" ht="18.75" hidden="1" x14ac:dyDescent="0.25">
      <c r="A120" s="186"/>
      <c r="B120" s="187"/>
      <c r="C120" s="187"/>
      <c r="D120" s="187"/>
      <c r="E120" s="188"/>
      <c r="F120" s="189"/>
      <c r="G120" s="190"/>
      <c r="H120" s="191"/>
      <c r="I120" s="192"/>
      <c r="J120" s="192"/>
      <c r="K120" s="193"/>
      <c r="L120" s="23"/>
      <c r="M120" s="23"/>
      <c r="N120" s="23"/>
      <c r="O120" s="23"/>
      <c r="P120" s="23"/>
    </row>
    <row r="121" spans="1:16" ht="18.75" hidden="1" x14ac:dyDescent="0.25">
      <c r="A121" s="186"/>
      <c r="B121" s="187"/>
      <c r="C121" s="187"/>
      <c r="D121" s="187"/>
      <c r="E121" s="188"/>
      <c r="F121" s="189"/>
      <c r="G121" s="190"/>
      <c r="H121" s="191"/>
      <c r="I121" s="192"/>
      <c r="J121" s="192"/>
      <c r="K121" s="193"/>
      <c r="L121" s="23"/>
      <c r="M121" s="23"/>
      <c r="N121" s="23"/>
      <c r="O121" s="23"/>
      <c r="P121" s="23"/>
    </row>
    <row r="122" spans="1:16" ht="18.75" hidden="1" x14ac:dyDescent="0.25">
      <c r="A122" s="186"/>
      <c r="B122" s="187"/>
      <c r="C122" s="187"/>
      <c r="D122" s="187"/>
      <c r="E122" s="188"/>
      <c r="F122" s="189"/>
      <c r="G122" s="190"/>
      <c r="H122" s="191"/>
      <c r="I122" s="192"/>
      <c r="J122" s="192"/>
      <c r="K122" s="193"/>
      <c r="L122" s="23"/>
      <c r="M122" s="23"/>
      <c r="N122" s="23"/>
      <c r="O122" s="23"/>
      <c r="P122" s="23"/>
    </row>
    <row r="123" spans="1:16" ht="19.5" hidden="1" x14ac:dyDescent="0.3">
      <c r="A123" s="207" t="s">
        <v>49</v>
      </c>
      <c r="B123" s="17"/>
      <c r="C123" s="208"/>
      <c r="D123" s="17"/>
      <c r="E123" s="17"/>
      <c r="F123" s="17"/>
      <c r="G123" s="17"/>
      <c r="H123" s="17"/>
      <c r="I123" s="209"/>
      <c r="J123" s="209"/>
      <c r="K123" s="210"/>
      <c r="L123" s="23"/>
      <c r="M123" s="23"/>
      <c r="N123" s="23"/>
      <c r="O123" s="23"/>
      <c r="P123" s="23"/>
    </row>
    <row r="124" spans="1:16" ht="19.5" hidden="1" x14ac:dyDescent="0.3">
      <c r="A124" s="211"/>
      <c r="B124" s="212" t="s">
        <v>50</v>
      </c>
      <c r="C124" s="208"/>
      <c r="D124" s="213"/>
      <c r="E124" s="17"/>
      <c r="F124" s="17"/>
      <c r="G124" s="20"/>
      <c r="H124" s="20"/>
      <c r="I124" s="214">
        <v>0</v>
      </c>
      <c r="J124" s="214">
        <v>0</v>
      </c>
      <c r="K124" s="27">
        <v>0</v>
      </c>
      <c r="L124" s="23"/>
      <c r="M124" s="23"/>
      <c r="N124" s="23"/>
      <c r="O124" s="23"/>
      <c r="P124" s="23"/>
    </row>
    <row r="125" spans="1:16" ht="19.5" hidden="1" x14ac:dyDescent="0.3">
      <c r="A125" s="211"/>
      <c r="B125" s="17"/>
      <c r="C125" s="18" t="s">
        <v>16</v>
      </c>
      <c r="D125" s="19" t="s">
        <v>17</v>
      </c>
      <c r="E125" s="17"/>
      <c r="F125" s="17"/>
      <c r="G125" s="20"/>
      <c r="H125" s="215" t="s">
        <v>12</v>
      </c>
      <c r="I125" s="22"/>
      <c r="J125" s="22"/>
      <c r="K125" s="23"/>
      <c r="L125" s="24">
        <f t="shared" ref="L125:N125" ca="1" si="54">L126+L127</f>
        <v>0</v>
      </c>
      <c r="M125" s="24">
        <f t="shared" ca="1" si="54"/>
        <v>0</v>
      </c>
      <c r="N125" s="24">
        <f t="shared" ca="1" si="54"/>
        <v>0</v>
      </c>
      <c r="O125" s="24">
        <f t="shared" ref="O125:O133" ca="1" si="55">IF(L125&gt;0,N125*100/L125,0)</f>
        <v>0</v>
      </c>
      <c r="P125" s="24">
        <f t="shared" ref="P125:P133" ca="1" si="56">IF(M125&gt;0,N125*100/M125,0)</f>
        <v>0</v>
      </c>
    </row>
    <row r="126" spans="1:16" ht="18.75" hidden="1" x14ac:dyDescent="0.25">
      <c r="A126" s="216"/>
      <c r="B126" s="189"/>
      <c r="C126" s="189"/>
      <c r="D126" s="189"/>
      <c r="E126" s="188" t="s">
        <v>18</v>
      </c>
      <c r="F126" s="189"/>
      <c r="G126" s="190"/>
      <c r="H126" s="217" t="s">
        <v>12</v>
      </c>
      <c r="I126" s="198"/>
      <c r="J126" s="198"/>
      <c r="K126" s="200"/>
      <c r="L126" s="27">
        <f t="shared" ref="L126:N126" ca="1" si="57">L129+L132</f>
        <v>0</v>
      </c>
      <c r="M126" s="27">
        <f t="shared" ca="1" si="57"/>
        <v>0</v>
      </c>
      <c r="N126" s="27">
        <f t="shared" ca="1" si="57"/>
        <v>0</v>
      </c>
      <c r="O126" s="27">
        <f t="shared" ca="1" si="55"/>
        <v>0</v>
      </c>
      <c r="P126" s="27">
        <f t="shared" ca="1" si="56"/>
        <v>0</v>
      </c>
    </row>
    <row r="127" spans="1:16" ht="18.75" hidden="1" x14ac:dyDescent="0.25">
      <c r="A127" s="211"/>
      <c r="B127" s="17"/>
      <c r="C127" s="17"/>
      <c r="D127" s="17"/>
      <c r="E127" s="25" t="s">
        <v>19</v>
      </c>
      <c r="F127" s="17"/>
      <c r="G127" s="20"/>
      <c r="H127" s="218" t="s">
        <v>12</v>
      </c>
      <c r="I127" s="22"/>
      <c r="J127" s="22"/>
      <c r="K127" s="23"/>
      <c r="L127" s="27">
        <f t="shared" ref="L127:N127" ca="1" si="58">L130+L133</f>
        <v>0</v>
      </c>
      <c r="M127" s="27">
        <f t="shared" ca="1" si="58"/>
        <v>0</v>
      </c>
      <c r="N127" s="27">
        <f t="shared" ca="1" si="58"/>
        <v>0</v>
      </c>
      <c r="O127" s="27">
        <f t="shared" ca="1" si="55"/>
        <v>0</v>
      </c>
      <c r="P127" s="27">
        <f t="shared" ca="1" si="56"/>
        <v>0</v>
      </c>
    </row>
    <row r="128" spans="1:16" ht="18.75" hidden="1" x14ac:dyDescent="0.25">
      <c r="A128" s="211"/>
      <c r="B128" s="17"/>
      <c r="C128" s="17"/>
      <c r="D128" s="28" t="s">
        <v>20</v>
      </c>
      <c r="E128" s="17"/>
      <c r="F128" s="17"/>
      <c r="G128" s="20"/>
      <c r="H128" s="219" t="s">
        <v>12</v>
      </c>
      <c r="I128" s="22"/>
      <c r="J128" s="22"/>
      <c r="K128" s="23"/>
      <c r="L128" s="27">
        <f t="shared" ref="L128:N128" ca="1" si="59">L129+L130</f>
        <v>0</v>
      </c>
      <c r="M128" s="27">
        <f t="shared" ca="1" si="59"/>
        <v>0</v>
      </c>
      <c r="N128" s="27">
        <f t="shared" ca="1" si="59"/>
        <v>0</v>
      </c>
      <c r="O128" s="27">
        <f t="shared" ca="1" si="55"/>
        <v>0</v>
      </c>
      <c r="P128" s="27">
        <f t="shared" ca="1" si="56"/>
        <v>0</v>
      </c>
    </row>
    <row r="129" spans="1:16" ht="18.75" hidden="1" x14ac:dyDescent="0.25">
      <c r="A129" s="216"/>
      <c r="B129" s="189"/>
      <c r="C129" s="189"/>
      <c r="D129" s="189"/>
      <c r="E129" s="188" t="s">
        <v>34</v>
      </c>
      <c r="F129" s="189"/>
      <c r="G129" s="190"/>
      <c r="H129" s="220" t="s">
        <v>12</v>
      </c>
      <c r="I129" s="198"/>
      <c r="J129" s="198"/>
      <c r="K129" s="200"/>
      <c r="L129" s="27">
        <f ca="1">IFERROR(__xludf.DUMMYFUNCTION("IMPORTRANGE(""https://docs.google.com/spreadsheets/d/1-uDff_7J0KD5mKrp0Vvzr7lt3OU09vwQwhkpOPPYv2Y/edit?usp=sharing"",""งบพรบ!BG9"")"),0)</f>
        <v>0</v>
      </c>
      <c r="M129" s="27">
        <f ca="1">IFERROR(__xludf.DUMMYFUNCTION("IMPORTRANGE(""https://docs.google.com/spreadsheets/d/1-uDff_7J0KD5mKrp0Vvzr7lt3OU09vwQwhkpOPPYv2Y/edit?usp=sharing"",""งบพรบ!BL9"")"),0)</f>
        <v>0</v>
      </c>
      <c r="N129" s="27">
        <f ca="1">IFERROR(__xludf.DUMMYFUNCTION("IMPORTRANGE(""https://docs.google.com/spreadsheets/d/1-uDff_7J0KD5mKrp0Vvzr7lt3OU09vwQwhkpOPPYv2Y/edit?usp=sharing"",""งบพรบ!BN9"")"),0)</f>
        <v>0</v>
      </c>
      <c r="O129" s="27">
        <f t="shared" ca="1" si="55"/>
        <v>0</v>
      </c>
      <c r="P129" s="27">
        <f t="shared" ca="1" si="56"/>
        <v>0</v>
      </c>
    </row>
    <row r="130" spans="1:16" ht="18.75" hidden="1" x14ac:dyDescent="0.25">
      <c r="A130" s="211"/>
      <c r="B130" s="17"/>
      <c r="C130" s="17"/>
      <c r="D130" s="17"/>
      <c r="E130" s="25" t="s">
        <v>35</v>
      </c>
      <c r="F130" s="17"/>
      <c r="G130" s="20"/>
      <c r="H130" s="219" t="s">
        <v>12</v>
      </c>
      <c r="I130" s="22"/>
      <c r="J130" s="22"/>
      <c r="K130" s="23"/>
      <c r="L130" s="27">
        <f ca="1">IFERROR(__xludf.DUMMYFUNCTION("IMPORTRANGE(""https://docs.google.com/spreadsheets/d/1-uDff_7J0KD5mKrp0Vvzr7lt3OU09vwQwhkpOPPYv2Y/edit?usp=sharing"",""งบพรบ!BG8"")"),0)</f>
        <v>0</v>
      </c>
      <c r="M130" s="27">
        <f ca="1">IFERROR(__xludf.DUMMYFUNCTION("IMPORTRANGE(""https://docs.google.com/spreadsheets/d/1-uDff_7J0KD5mKrp0Vvzr7lt3OU09vwQwhkpOPPYv2Y/edit?usp=sharing"",""งบพรบ!BL8"")"),0)</f>
        <v>0</v>
      </c>
      <c r="N130" s="27">
        <f ca="1">IFERROR(__xludf.DUMMYFUNCTION("IMPORTRANGE(""https://docs.google.com/spreadsheets/d/1-uDff_7J0KD5mKrp0Vvzr7lt3OU09vwQwhkpOPPYv2Y/edit?usp=sharing"",""งบพรบ!BN8"")"),0)</f>
        <v>0</v>
      </c>
      <c r="O130" s="27">
        <f t="shared" ca="1" si="55"/>
        <v>0</v>
      </c>
      <c r="P130" s="27">
        <f t="shared" ca="1" si="56"/>
        <v>0</v>
      </c>
    </row>
    <row r="131" spans="1:16" ht="18.75" hidden="1" x14ac:dyDescent="0.25">
      <c r="A131" s="211"/>
      <c r="B131" s="17"/>
      <c r="C131" s="17"/>
      <c r="D131" s="28" t="s">
        <v>21</v>
      </c>
      <c r="E131" s="17"/>
      <c r="F131" s="17"/>
      <c r="G131" s="20"/>
      <c r="H131" s="218" t="s">
        <v>12</v>
      </c>
      <c r="I131" s="22"/>
      <c r="J131" s="22"/>
      <c r="K131" s="23"/>
      <c r="L131" s="27">
        <f t="shared" ref="L131:N131" ca="1" si="60">L132+L133</f>
        <v>0</v>
      </c>
      <c r="M131" s="27">
        <f t="shared" ca="1" si="60"/>
        <v>0</v>
      </c>
      <c r="N131" s="27">
        <f t="shared" ca="1" si="60"/>
        <v>0</v>
      </c>
      <c r="O131" s="27">
        <f t="shared" ca="1" si="55"/>
        <v>0</v>
      </c>
      <c r="P131" s="27">
        <f t="shared" ca="1" si="56"/>
        <v>0</v>
      </c>
    </row>
    <row r="132" spans="1:16" ht="18.75" hidden="1" x14ac:dyDescent="0.25">
      <c r="A132" s="216"/>
      <c r="B132" s="189"/>
      <c r="C132" s="189"/>
      <c r="D132" s="189"/>
      <c r="E132" s="188" t="s">
        <v>18</v>
      </c>
      <c r="F132" s="189"/>
      <c r="G132" s="190"/>
      <c r="H132" s="220" t="s">
        <v>12</v>
      </c>
      <c r="I132" s="198"/>
      <c r="J132" s="198"/>
      <c r="K132" s="200"/>
      <c r="L132" s="27">
        <f ca="1">IFERROR(__xludf.DUMMYFUNCTION("IMPORTRANGE(""https://docs.google.com/spreadsheets/d/1-uDff_7J0KD5mKrp0Vvzr7lt3OU09vwQwhkpOPPYv2Y/edit?usp=sharing"",""งบพรบ!BJ9"")"),0)</f>
        <v>0</v>
      </c>
      <c r="M132" s="27">
        <f ca="1">IFERROR(__xludf.DUMMYFUNCTION("IMPORTRANGE(""https://docs.google.com/spreadsheets/d/1-uDff_7J0KD5mKrp0Vvzr7lt3OU09vwQwhkpOPPYv2Y/edit?usp=sharing"",""งบพรบ!BM9"")"),0)</f>
        <v>0</v>
      </c>
      <c r="N132" s="27">
        <f ca="1">IFERROR(__xludf.DUMMYFUNCTION("IMPORTRANGE(""https://docs.google.com/spreadsheets/d/1-uDff_7J0KD5mKrp0Vvzr7lt3OU09vwQwhkpOPPYv2Y/edit?usp=sharing"",""งบพรบ!BO9"")"),0)</f>
        <v>0</v>
      </c>
      <c r="O132" s="27">
        <f t="shared" ca="1" si="55"/>
        <v>0</v>
      </c>
      <c r="P132" s="27">
        <f t="shared" ca="1" si="56"/>
        <v>0</v>
      </c>
    </row>
    <row r="133" spans="1:16" ht="18.75" hidden="1" x14ac:dyDescent="0.25">
      <c r="A133" s="211"/>
      <c r="B133" s="17"/>
      <c r="C133" s="17"/>
      <c r="D133" s="17"/>
      <c r="E133" s="25" t="s">
        <v>19</v>
      </c>
      <c r="F133" s="17"/>
      <c r="G133" s="20"/>
      <c r="H133" s="218" t="s">
        <v>12</v>
      </c>
      <c r="I133" s="22"/>
      <c r="J133" s="22"/>
      <c r="K133" s="23"/>
      <c r="L133" s="27">
        <f ca="1">IFERROR(__xludf.DUMMYFUNCTION("IMPORTRANGE(""https://docs.google.com/spreadsheets/d/1-uDff_7J0KD5mKrp0Vvzr7lt3OU09vwQwhkpOPPYv2Y/edit?usp=sharing"",""งบพรบ!BJ8"")"),0)</f>
        <v>0</v>
      </c>
      <c r="M133" s="27">
        <f ca="1">IFERROR(__xludf.DUMMYFUNCTION("IMPORTRANGE(""https://docs.google.com/spreadsheets/d/1-uDff_7J0KD5mKrp0Vvzr7lt3OU09vwQwhkpOPPYv2Y/edit?usp=sharing"",""งบพรบ!BM8"")"),0)</f>
        <v>0</v>
      </c>
      <c r="N133" s="27">
        <f ca="1">IFERROR(__xludf.DUMMYFUNCTION("IMPORTRANGE(""https://docs.google.com/spreadsheets/d/1-uDff_7J0KD5mKrp0Vvzr7lt3OU09vwQwhkpOPPYv2Y/edit?usp=sharing"",""งบพรบ!BO8"")"),0)</f>
        <v>0</v>
      </c>
      <c r="O133" s="27">
        <f t="shared" ca="1" si="55"/>
        <v>0</v>
      </c>
      <c r="P133" s="27">
        <f t="shared" ca="1" si="56"/>
        <v>0</v>
      </c>
    </row>
    <row r="134" spans="1:16" ht="19.5" x14ac:dyDescent="0.3">
      <c r="A134" s="146" t="s">
        <v>51</v>
      </c>
      <c r="B134" s="147"/>
      <c r="C134" s="221"/>
      <c r="D134" s="147"/>
      <c r="E134" s="147"/>
      <c r="F134" s="147"/>
      <c r="G134" s="147"/>
      <c r="H134" s="147"/>
      <c r="I134" s="222"/>
      <c r="J134" s="222"/>
      <c r="K134" s="223"/>
      <c r="L134" s="151"/>
      <c r="M134" s="151"/>
      <c r="N134" s="151"/>
      <c r="O134" s="151"/>
      <c r="P134" s="151"/>
    </row>
    <row r="135" spans="1:16" ht="19.5" x14ac:dyDescent="0.3">
      <c r="A135" s="152"/>
      <c r="B135" s="153" t="s">
        <v>52</v>
      </c>
      <c r="C135" s="224"/>
      <c r="D135" s="154"/>
      <c r="E135" s="41"/>
      <c r="F135" s="41"/>
      <c r="G135" s="41"/>
      <c r="H135" s="41"/>
      <c r="I135" s="46"/>
      <c r="J135" s="46"/>
      <c r="K135" s="47"/>
      <c r="L135" s="47"/>
      <c r="M135" s="47"/>
      <c r="N135" s="47"/>
      <c r="O135" s="47"/>
      <c r="P135" s="47"/>
    </row>
    <row r="136" spans="1:16" ht="19.5" x14ac:dyDescent="0.3">
      <c r="A136" s="152"/>
      <c r="B136" s="41"/>
      <c r="C136" s="225" t="s">
        <v>53</v>
      </c>
      <c r="D136" s="154"/>
      <c r="E136" s="41"/>
      <c r="F136" s="41"/>
      <c r="G136" s="44"/>
      <c r="H136" s="155" t="s">
        <v>54</v>
      </c>
      <c r="I136" s="156">
        <f t="shared" ref="I136:J136" ca="1" si="61">I154</f>
        <v>5</v>
      </c>
      <c r="J136" s="156">
        <f t="shared" ca="1" si="61"/>
        <v>0</v>
      </c>
      <c r="K136" s="48">
        <f t="shared" ref="K136:K138" ca="1" si="62">IF(I136&gt;0,J136*100/I136,0)</f>
        <v>0</v>
      </c>
      <c r="L136" s="47"/>
      <c r="M136" s="47"/>
      <c r="N136" s="47"/>
      <c r="O136" s="47"/>
      <c r="P136" s="47"/>
    </row>
    <row r="137" spans="1:16" ht="19.5" x14ac:dyDescent="0.3">
      <c r="A137" s="152"/>
      <c r="B137" s="41"/>
      <c r="C137" s="225" t="s">
        <v>55</v>
      </c>
      <c r="D137" s="154"/>
      <c r="E137" s="41"/>
      <c r="F137" s="41"/>
      <c r="G137" s="44"/>
      <c r="H137" s="155" t="s">
        <v>33</v>
      </c>
      <c r="I137" s="156">
        <f t="shared" ref="I137:J137" ca="1" si="63">I152</f>
        <v>180</v>
      </c>
      <c r="J137" s="156">
        <f t="shared" ca="1" si="63"/>
        <v>0</v>
      </c>
      <c r="K137" s="48">
        <f t="shared" ca="1" si="62"/>
        <v>0</v>
      </c>
      <c r="L137" s="47"/>
      <c r="M137" s="47"/>
      <c r="N137" s="47"/>
      <c r="O137" s="47"/>
      <c r="P137" s="47"/>
    </row>
    <row r="138" spans="1:16" ht="19.5" x14ac:dyDescent="0.3">
      <c r="A138" s="152"/>
      <c r="B138" s="41"/>
      <c r="C138" s="225"/>
      <c r="D138" s="154"/>
      <c r="E138" s="41"/>
      <c r="F138" s="41"/>
      <c r="G138" s="44"/>
      <c r="H138" s="226" t="s">
        <v>56</v>
      </c>
      <c r="I138" s="156">
        <f t="shared" ref="I138:J138" ca="1" si="64">I153</f>
        <v>18</v>
      </c>
      <c r="J138" s="156">
        <f t="shared" ca="1" si="64"/>
        <v>0</v>
      </c>
      <c r="K138" s="48">
        <f t="shared" ca="1" si="62"/>
        <v>0</v>
      </c>
      <c r="L138" s="47"/>
      <c r="M138" s="47"/>
      <c r="N138" s="47"/>
      <c r="O138" s="47"/>
      <c r="P138" s="47"/>
    </row>
    <row r="139" spans="1:16" ht="19.5" x14ac:dyDescent="0.3">
      <c r="A139" s="157"/>
      <c r="B139" s="53"/>
      <c r="C139" s="158" t="s">
        <v>16</v>
      </c>
      <c r="D139" s="159" t="s">
        <v>17</v>
      </c>
      <c r="E139" s="53"/>
      <c r="F139" s="53"/>
      <c r="G139" s="55"/>
      <c r="H139" s="160" t="s">
        <v>12</v>
      </c>
      <c r="I139" s="57"/>
      <c r="J139" s="57"/>
      <c r="K139" s="58"/>
      <c r="L139" s="161">
        <f t="shared" ref="L139:N139" ca="1" si="65">L140+L141</f>
        <v>791100</v>
      </c>
      <c r="M139" s="161">
        <f t="shared" ca="1" si="65"/>
        <v>624900</v>
      </c>
      <c r="N139" s="161">
        <f t="shared" ca="1" si="65"/>
        <v>106160</v>
      </c>
      <c r="O139" s="161">
        <f t="shared" ref="O139:O147" ca="1" si="66">IF(L139&gt;0,N139*100/L139,0)</f>
        <v>13.419289596763999</v>
      </c>
      <c r="P139" s="161">
        <f t="shared" ref="P139:P147" ca="1" si="67">IF(M139&gt;0,N139*100/M139,0)</f>
        <v>16.988318130900943</v>
      </c>
    </row>
    <row r="140" spans="1:16" ht="18.75" x14ac:dyDescent="0.25">
      <c r="A140" s="157"/>
      <c r="B140" s="53"/>
      <c r="C140" s="53"/>
      <c r="D140" s="53"/>
      <c r="E140" s="60" t="s">
        <v>18</v>
      </c>
      <c r="F140" s="53"/>
      <c r="G140" s="55"/>
      <c r="H140" s="162" t="s">
        <v>12</v>
      </c>
      <c r="I140" s="57"/>
      <c r="J140" s="57"/>
      <c r="K140" s="58"/>
      <c r="L140" s="59">
        <f t="shared" ref="L140:N140" ca="1" si="68">L143+L146</f>
        <v>0</v>
      </c>
      <c r="M140" s="59">
        <f t="shared" ca="1" si="68"/>
        <v>0</v>
      </c>
      <c r="N140" s="59">
        <f t="shared" ca="1" si="68"/>
        <v>0</v>
      </c>
      <c r="O140" s="59">
        <f t="shared" ca="1" si="66"/>
        <v>0</v>
      </c>
      <c r="P140" s="59">
        <f t="shared" ca="1" si="67"/>
        <v>0</v>
      </c>
    </row>
    <row r="141" spans="1:16" ht="18.75" x14ac:dyDescent="0.25">
      <c r="A141" s="157"/>
      <c r="B141" s="53"/>
      <c r="C141" s="53"/>
      <c r="D141" s="53"/>
      <c r="E141" s="60" t="s">
        <v>19</v>
      </c>
      <c r="F141" s="53"/>
      <c r="G141" s="55"/>
      <c r="H141" s="162" t="s">
        <v>12</v>
      </c>
      <c r="I141" s="57"/>
      <c r="J141" s="57"/>
      <c r="K141" s="58"/>
      <c r="L141" s="59">
        <f t="shared" ref="L141:N141" ca="1" si="69">L144+L147</f>
        <v>791100</v>
      </c>
      <c r="M141" s="59">
        <f t="shared" ca="1" si="69"/>
        <v>624900</v>
      </c>
      <c r="N141" s="59">
        <f t="shared" ca="1" si="69"/>
        <v>106160</v>
      </c>
      <c r="O141" s="59">
        <f t="shared" ca="1" si="66"/>
        <v>13.419289596763999</v>
      </c>
      <c r="P141" s="59">
        <f t="shared" ca="1" si="67"/>
        <v>16.988318130900943</v>
      </c>
    </row>
    <row r="142" spans="1:16" ht="18.75" x14ac:dyDescent="0.25">
      <c r="A142" s="157"/>
      <c r="B142" s="53"/>
      <c r="C142" s="53"/>
      <c r="D142" s="54" t="s">
        <v>20</v>
      </c>
      <c r="E142" s="53"/>
      <c r="F142" s="53"/>
      <c r="G142" s="55"/>
      <c r="H142" s="163" t="s">
        <v>12</v>
      </c>
      <c r="I142" s="164"/>
      <c r="J142" s="164"/>
      <c r="K142" s="165"/>
      <c r="L142" s="59">
        <f t="shared" ref="L142:N142" ca="1" si="70">L143+L144</f>
        <v>791100</v>
      </c>
      <c r="M142" s="59">
        <f t="shared" ca="1" si="70"/>
        <v>624900</v>
      </c>
      <c r="N142" s="59">
        <f t="shared" ca="1" si="70"/>
        <v>106160</v>
      </c>
      <c r="O142" s="59">
        <f t="shared" ca="1" si="66"/>
        <v>13.419289596763999</v>
      </c>
      <c r="P142" s="59">
        <f t="shared" ca="1" si="67"/>
        <v>16.988318130900943</v>
      </c>
    </row>
    <row r="143" spans="1:16" ht="18.75" x14ac:dyDescent="0.25">
      <c r="A143" s="157"/>
      <c r="B143" s="53"/>
      <c r="C143" s="53"/>
      <c r="D143" s="53"/>
      <c r="E143" s="60" t="s">
        <v>34</v>
      </c>
      <c r="F143" s="53"/>
      <c r="G143" s="55"/>
      <c r="H143" s="163" t="s">
        <v>12</v>
      </c>
      <c r="I143" s="164"/>
      <c r="J143" s="164"/>
      <c r="K143" s="165"/>
      <c r="L143" s="59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59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59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59">
        <f t="shared" ca="1" si="66"/>
        <v>0</v>
      </c>
      <c r="P143" s="59">
        <f t="shared" ca="1" si="67"/>
        <v>0</v>
      </c>
    </row>
    <row r="144" spans="1:16" ht="18.75" x14ac:dyDescent="0.25">
      <c r="A144" s="157"/>
      <c r="B144" s="53"/>
      <c r="C144" s="53"/>
      <c r="D144" s="53"/>
      <c r="E144" s="60" t="s">
        <v>35</v>
      </c>
      <c r="F144" s="53"/>
      <c r="G144" s="55"/>
      <c r="H144" s="163" t="s">
        <v>12</v>
      </c>
      <c r="I144" s="164"/>
      <c r="J144" s="164"/>
      <c r="K144" s="165"/>
      <c r="L144" s="59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59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624900)</f>
        <v>624900</v>
      </c>
      <c r="N144" s="59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106160)</f>
        <v>106160</v>
      </c>
      <c r="O144" s="59">
        <f t="shared" ca="1" si="66"/>
        <v>13.419289596763999</v>
      </c>
      <c r="P144" s="59">
        <f t="shared" ca="1" si="67"/>
        <v>16.988318130900943</v>
      </c>
    </row>
    <row r="145" spans="1:16" ht="18.75" x14ac:dyDescent="0.25">
      <c r="A145" s="157"/>
      <c r="B145" s="53"/>
      <c r="C145" s="53"/>
      <c r="D145" s="54" t="s">
        <v>21</v>
      </c>
      <c r="E145" s="53"/>
      <c r="F145" s="53"/>
      <c r="G145" s="55"/>
      <c r="H145" s="166" t="s">
        <v>12</v>
      </c>
      <c r="I145" s="164"/>
      <c r="J145" s="164"/>
      <c r="K145" s="165"/>
      <c r="L145" s="59">
        <f t="shared" ref="L145:N145" ca="1" si="71">L146+L147</f>
        <v>0</v>
      </c>
      <c r="M145" s="59">
        <f t="shared" ca="1" si="71"/>
        <v>0</v>
      </c>
      <c r="N145" s="59">
        <f t="shared" ca="1" si="71"/>
        <v>0</v>
      </c>
      <c r="O145" s="59">
        <f t="shared" ca="1" si="66"/>
        <v>0</v>
      </c>
      <c r="P145" s="59">
        <f t="shared" ca="1" si="67"/>
        <v>0</v>
      </c>
    </row>
    <row r="146" spans="1:16" ht="18.75" x14ac:dyDescent="0.25">
      <c r="A146" s="157"/>
      <c r="B146" s="53"/>
      <c r="C146" s="53"/>
      <c r="D146" s="53"/>
      <c r="E146" s="60" t="s">
        <v>18</v>
      </c>
      <c r="F146" s="53"/>
      <c r="G146" s="55"/>
      <c r="H146" s="163" t="s">
        <v>12</v>
      </c>
      <c r="I146" s="164"/>
      <c r="J146" s="164"/>
      <c r="K146" s="165"/>
      <c r="L146" s="59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59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59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59">
        <f t="shared" ca="1" si="66"/>
        <v>0</v>
      </c>
      <c r="P146" s="59">
        <f t="shared" ca="1" si="67"/>
        <v>0</v>
      </c>
    </row>
    <row r="147" spans="1:16" ht="18.75" x14ac:dyDescent="0.25">
      <c r="A147" s="157"/>
      <c r="B147" s="53"/>
      <c r="C147" s="53"/>
      <c r="D147" s="53"/>
      <c r="E147" s="60" t="s">
        <v>19</v>
      </c>
      <c r="F147" s="53"/>
      <c r="G147" s="55"/>
      <c r="H147" s="166" t="s">
        <v>12</v>
      </c>
      <c r="I147" s="164"/>
      <c r="J147" s="164"/>
      <c r="K147" s="165"/>
      <c r="L147" s="59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59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59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59">
        <f t="shared" ca="1" si="66"/>
        <v>0</v>
      </c>
      <c r="P147" s="59">
        <f t="shared" ca="1" si="67"/>
        <v>0</v>
      </c>
    </row>
    <row r="148" spans="1:16" ht="19.5" x14ac:dyDescent="0.3">
      <c r="A148" s="167"/>
      <c r="B148" s="168"/>
      <c r="C148" s="158" t="s">
        <v>16</v>
      </c>
      <c r="D148" s="169" t="s">
        <v>36</v>
      </c>
      <c r="E148" s="170"/>
      <c r="F148" s="170"/>
      <c r="G148" s="171"/>
      <c r="H148" s="227"/>
      <c r="I148" s="57"/>
      <c r="J148" s="57"/>
      <c r="K148" s="58"/>
      <c r="L148" s="58"/>
      <c r="M148" s="58"/>
      <c r="N148" s="58"/>
      <c r="O148" s="58"/>
      <c r="P148" s="58"/>
    </row>
    <row r="149" spans="1:16" ht="18.75" x14ac:dyDescent="0.25">
      <c r="A149" s="157"/>
      <c r="B149" s="53"/>
      <c r="C149" s="53"/>
      <c r="D149" s="60" t="s">
        <v>57</v>
      </c>
      <c r="E149" s="53"/>
      <c r="F149" s="53"/>
      <c r="G149" s="55"/>
      <c r="H149" s="227"/>
      <c r="I149" s="57"/>
      <c r="J149" s="196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58"/>
      <c r="L149" s="58"/>
      <c r="M149" s="58"/>
      <c r="N149" s="58"/>
      <c r="O149" s="58"/>
      <c r="P149" s="58"/>
    </row>
    <row r="150" spans="1:16" ht="19.5" x14ac:dyDescent="0.3">
      <c r="A150" s="228"/>
      <c r="B150" s="63"/>
      <c r="C150" s="63"/>
      <c r="D150" s="229"/>
      <c r="E150" s="230" t="s">
        <v>58</v>
      </c>
      <c r="F150" s="63"/>
      <c r="G150" s="65"/>
      <c r="H150" s="231" t="s">
        <v>33</v>
      </c>
      <c r="I150" s="232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232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0)</f>
        <v>0</v>
      </c>
      <c r="K150" s="69">
        <f t="shared" ref="K150:K154" ca="1" si="72">IF(I150&gt;0,J150*100/I150,0)</f>
        <v>0</v>
      </c>
      <c r="L150" s="68"/>
      <c r="M150" s="68"/>
      <c r="N150" s="68"/>
      <c r="O150" s="68"/>
      <c r="P150" s="68"/>
    </row>
    <row r="151" spans="1:16" ht="18.75" x14ac:dyDescent="0.25">
      <c r="A151" s="228"/>
      <c r="B151" s="63"/>
      <c r="C151" s="63"/>
      <c r="D151" s="229"/>
      <c r="E151" s="233"/>
      <c r="F151" s="63"/>
      <c r="G151" s="65"/>
      <c r="H151" s="234" t="s">
        <v>56</v>
      </c>
      <c r="I151" s="235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235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0)</f>
        <v>0</v>
      </c>
      <c r="K151" s="69">
        <f t="shared" ca="1" si="72"/>
        <v>0</v>
      </c>
      <c r="L151" s="68"/>
      <c r="M151" s="68"/>
      <c r="N151" s="68"/>
      <c r="O151" s="68"/>
      <c r="P151" s="68"/>
    </row>
    <row r="152" spans="1:16" ht="19.5" x14ac:dyDescent="0.3">
      <c r="A152" s="228"/>
      <c r="B152" s="63"/>
      <c r="C152" s="63"/>
      <c r="D152" s="229"/>
      <c r="E152" s="230" t="s">
        <v>59</v>
      </c>
      <c r="F152" s="63"/>
      <c r="G152" s="65"/>
      <c r="H152" s="231" t="s">
        <v>33</v>
      </c>
      <c r="I152" s="232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235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0)</f>
        <v>0</v>
      </c>
      <c r="K152" s="69">
        <f t="shared" ca="1" si="72"/>
        <v>0</v>
      </c>
      <c r="L152" s="68"/>
      <c r="M152" s="68"/>
      <c r="N152" s="68"/>
      <c r="O152" s="68"/>
      <c r="P152" s="68"/>
    </row>
    <row r="153" spans="1:16" ht="19.5" x14ac:dyDescent="0.3">
      <c r="A153" s="228"/>
      <c r="B153" s="63"/>
      <c r="C153" s="63"/>
      <c r="D153" s="233"/>
      <c r="E153" s="236"/>
      <c r="F153" s="63"/>
      <c r="G153" s="65"/>
      <c r="H153" s="234" t="s">
        <v>56</v>
      </c>
      <c r="I153" s="235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235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0)</f>
        <v>0</v>
      </c>
      <c r="K153" s="69">
        <f t="shared" ca="1" si="72"/>
        <v>0</v>
      </c>
      <c r="L153" s="68"/>
      <c r="M153" s="68"/>
      <c r="N153" s="68"/>
      <c r="O153" s="68"/>
      <c r="P153" s="68"/>
    </row>
    <row r="154" spans="1:16" ht="18.75" x14ac:dyDescent="0.25">
      <c r="A154" s="237"/>
      <c r="B154" s="238"/>
      <c r="C154" s="238"/>
      <c r="D154" s="239" t="s">
        <v>60</v>
      </c>
      <c r="E154" s="238"/>
      <c r="F154" s="238"/>
      <c r="G154" s="240"/>
      <c r="H154" s="241" t="s">
        <v>54</v>
      </c>
      <c r="I154" s="242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243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69">
        <f t="shared" ca="1" si="72"/>
        <v>0</v>
      </c>
      <c r="L154" s="244"/>
      <c r="M154" s="244"/>
      <c r="N154" s="244"/>
      <c r="O154" s="244"/>
      <c r="P154" s="244"/>
    </row>
    <row r="155" spans="1:16" ht="19.5" x14ac:dyDescent="0.3">
      <c r="A155" s="245" t="s">
        <v>61</v>
      </c>
      <c r="B155" s="246"/>
      <c r="C155" s="247"/>
      <c r="D155" s="246"/>
      <c r="E155" s="246"/>
      <c r="F155" s="246"/>
      <c r="G155" s="246"/>
      <c r="H155" s="246"/>
      <c r="I155" s="248"/>
      <c r="J155" s="248"/>
      <c r="K155" s="249"/>
      <c r="L155" s="250"/>
      <c r="M155" s="250"/>
      <c r="N155" s="250"/>
      <c r="O155" s="250"/>
      <c r="P155" s="250"/>
    </row>
    <row r="156" spans="1:16" ht="19.5" x14ac:dyDescent="0.3">
      <c r="A156" s="152"/>
      <c r="B156" s="153" t="s">
        <v>62</v>
      </c>
      <c r="C156" s="41"/>
      <c r="D156" s="41"/>
      <c r="E156" s="41"/>
      <c r="F156" s="41"/>
      <c r="G156" s="44"/>
      <c r="H156" s="251" t="s">
        <v>33</v>
      </c>
      <c r="I156" s="156">
        <f ca="1">I167</f>
        <v>105</v>
      </c>
      <c r="J156" s="156">
        <f>J168</f>
        <v>0</v>
      </c>
      <c r="K156" s="48">
        <f ca="1">IF(I156&gt;0,J156*100/I156,0)</f>
        <v>0</v>
      </c>
      <c r="L156" s="47"/>
      <c r="M156" s="47"/>
      <c r="N156" s="47"/>
      <c r="O156" s="47"/>
      <c r="P156" s="47"/>
    </row>
    <row r="157" spans="1:16" ht="19.5" x14ac:dyDescent="0.3">
      <c r="A157" s="157"/>
      <c r="B157" s="53"/>
      <c r="C157" s="158" t="s">
        <v>16</v>
      </c>
      <c r="D157" s="159" t="s">
        <v>17</v>
      </c>
      <c r="E157" s="53"/>
      <c r="F157" s="53"/>
      <c r="G157" s="55"/>
      <c r="H157" s="160" t="s">
        <v>12</v>
      </c>
      <c r="I157" s="57"/>
      <c r="J157" s="57"/>
      <c r="K157" s="58"/>
      <c r="L157" s="161">
        <f t="shared" ref="L157:N157" ca="1" si="73">L158+L159</f>
        <v>31500</v>
      </c>
      <c r="M157" s="161">
        <f t="shared" ca="1" si="73"/>
        <v>0</v>
      </c>
      <c r="N157" s="161">
        <f t="shared" ca="1" si="73"/>
        <v>0</v>
      </c>
      <c r="O157" s="161">
        <f t="shared" ref="O157:O165" ca="1" si="74">IF(L157&gt;0,N157*100/L157,0)</f>
        <v>0</v>
      </c>
      <c r="P157" s="161">
        <f t="shared" ref="P157:P165" ca="1" si="75">IF(M157&gt;0,N157*100/M157,0)</f>
        <v>0</v>
      </c>
    </row>
    <row r="158" spans="1:16" ht="18.75" x14ac:dyDescent="0.25">
      <c r="A158" s="157"/>
      <c r="B158" s="53"/>
      <c r="C158" s="53"/>
      <c r="D158" s="53"/>
      <c r="E158" s="60" t="s">
        <v>18</v>
      </c>
      <c r="F158" s="53"/>
      <c r="G158" s="55"/>
      <c r="H158" s="162" t="s">
        <v>12</v>
      </c>
      <c r="I158" s="57"/>
      <c r="J158" s="57"/>
      <c r="K158" s="58"/>
      <c r="L158" s="59">
        <f t="shared" ref="L158:N158" ca="1" si="76">L161+L164</f>
        <v>0</v>
      </c>
      <c r="M158" s="59">
        <f t="shared" ca="1" si="76"/>
        <v>0</v>
      </c>
      <c r="N158" s="59">
        <f t="shared" ca="1" si="76"/>
        <v>0</v>
      </c>
      <c r="O158" s="59">
        <f t="shared" ca="1" si="74"/>
        <v>0</v>
      </c>
      <c r="P158" s="59">
        <f t="shared" ca="1" si="75"/>
        <v>0</v>
      </c>
    </row>
    <row r="159" spans="1:16" ht="18.75" x14ac:dyDescent="0.25">
      <c r="A159" s="157"/>
      <c r="B159" s="53"/>
      <c r="C159" s="53"/>
      <c r="D159" s="53"/>
      <c r="E159" s="60" t="s">
        <v>19</v>
      </c>
      <c r="F159" s="53"/>
      <c r="G159" s="55"/>
      <c r="H159" s="162" t="s">
        <v>12</v>
      </c>
      <c r="I159" s="57"/>
      <c r="J159" s="57"/>
      <c r="K159" s="58"/>
      <c r="L159" s="59">
        <f t="shared" ref="L159:N159" ca="1" si="77">L162+L165</f>
        <v>31500</v>
      </c>
      <c r="M159" s="59">
        <f t="shared" ca="1" si="77"/>
        <v>0</v>
      </c>
      <c r="N159" s="59">
        <f t="shared" ca="1" si="77"/>
        <v>0</v>
      </c>
      <c r="O159" s="59">
        <f t="shared" ca="1" si="74"/>
        <v>0</v>
      </c>
      <c r="P159" s="59">
        <f t="shared" ca="1" si="75"/>
        <v>0</v>
      </c>
    </row>
    <row r="160" spans="1:16" ht="18.75" x14ac:dyDescent="0.25">
      <c r="A160" s="157"/>
      <c r="B160" s="53"/>
      <c r="C160" s="53"/>
      <c r="D160" s="54" t="s">
        <v>20</v>
      </c>
      <c r="E160" s="53"/>
      <c r="F160" s="53"/>
      <c r="G160" s="55"/>
      <c r="H160" s="163" t="s">
        <v>12</v>
      </c>
      <c r="I160" s="164"/>
      <c r="J160" s="164"/>
      <c r="K160" s="165"/>
      <c r="L160" s="59">
        <f t="shared" ref="L160:N160" ca="1" si="78">L161+L162</f>
        <v>31500</v>
      </c>
      <c r="M160" s="59">
        <f t="shared" ca="1" si="78"/>
        <v>0</v>
      </c>
      <c r="N160" s="59">
        <f t="shared" ca="1" si="78"/>
        <v>0</v>
      </c>
      <c r="O160" s="59">
        <f t="shared" ca="1" si="74"/>
        <v>0</v>
      </c>
      <c r="P160" s="59">
        <f t="shared" ca="1" si="75"/>
        <v>0</v>
      </c>
    </row>
    <row r="161" spans="1:16" ht="18.75" x14ac:dyDescent="0.25">
      <c r="A161" s="157"/>
      <c r="B161" s="53"/>
      <c r="C161" s="53"/>
      <c r="D161" s="53"/>
      <c r="E161" s="60" t="s">
        <v>34</v>
      </c>
      <c r="F161" s="53"/>
      <c r="G161" s="55"/>
      <c r="H161" s="163" t="s">
        <v>12</v>
      </c>
      <c r="I161" s="164"/>
      <c r="J161" s="164"/>
      <c r="K161" s="165"/>
      <c r="L161" s="59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59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59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59">
        <f t="shared" ca="1" si="74"/>
        <v>0</v>
      </c>
      <c r="P161" s="59">
        <f t="shared" ca="1" si="75"/>
        <v>0</v>
      </c>
    </row>
    <row r="162" spans="1:16" ht="18.75" x14ac:dyDescent="0.25">
      <c r="A162" s="157"/>
      <c r="B162" s="53"/>
      <c r="C162" s="53"/>
      <c r="D162" s="53"/>
      <c r="E162" s="60" t="s">
        <v>35</v>
      </c>
      <c r="F162" s="53"/>
      <c r="G162" s="55"/>
      <c r="H162" s="163" t="s">
        <v>12</v>
      </c>
      <c r="I162" s="164"/>
      <c r="J162" s="164"/>
      <c r="K162" s="165"/>
      <c r="L162" s="59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31500)</f>
        <v>31500</v>
      </c>
      <c r="M162" s="59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0)</f>
        <v>0</v>
      </c>
      <c r="N162" s="59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0)</f>
        <v>0</v>
      </c>
      <c r="O162" s="59">
        <f t="shared" ca="1" si="74"/>
        <v>0</v>
      </c>
      <c r="P162" s="59">
        <f t="shared" ca="1" si="75"/>
        <v>0</v>
      </c>
    </row>
    <row r="163" spans="1:16" ht="18.75" x14ac:dyDescent="0.25">
      <c r="A163" s="157"/>
      <c r="B163" s="53"/>
      <c r="C163" s="53"/>
      <c r="D163" s="54" t="s">
        <v>21</v>
      </c>
      <c r="E163" s="53"/>
      <c r="F163" s="53"/>
      <c r="G163" s="55"/>
      <c r="H163" s="166" t="s">
        <v>12</v>
      </c>
      <c r="I163" s="164"/>
      <c r="J163" s="164"/>
      <c r="K163" s="165"/>
      <c r="L163" s="59">
        <f t="shared" ref="L163:N163" ca="1" si="79">L164+L165</f>
        <v>0</v>
      </c>
      <c r="M163" s="59">
        <f t="shared" ca="1" si="79"/>
        <v>0</v>
      </c>
      <c r="N163" s="59">
        <f t="shared" ca="1" si="79"/>
        <v>0</v>
      </c>
      <c r="O163" s="59">
        <f t="shared" ca="1" si="74"/>
        <v>0</v>
      </c>
      <c r="P163" s="59">
        <f t="shared" ca="1" si="75"/>
        <v>0</v>
      </c>
    </row>
    <row r="164" spans="1:16" ht="18.75" x14ac:dyDescent="0.25">
      <c r="A164" s="157"/>
      <c r="B164" s="53"/>
      <c r="C164" s="53"/>
      <c r="D164" s="53"/>
      <c r="E164" s="60" t="s">
        <v>18</v>
      </c>
      <c r="F164" s="53"/>
      <c r="G164" s="55"/>
      <c r="H164" s="163" t="s">
        <v>12</v>
      </c>
      <c r="I164" s="164"/>
      <c r="J164" s="164"/>
      <c r="K164" s="165"/>
      <c r="L164" s="59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59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59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59">
        <f t="shared" ca="1" si="74"/>
        <v>0</v>
      </c>
      <c r="P164" s="59">
        <f t="shared" ca="1" si="75"/>
        <v>0</v>
      </c>
    </row>
    <row r="165" spans="1:16" ht="18.75" x14ac:dyDescent="0.25">
      <c r="A165" s="157"/>
      <c r="B165" s="53"/>
      <c r="C165" s="53"/>
      <c r="D165" s="53"/>
      <c r="E165" s="60" t="s">
        <v>19</v>
      </c>
      <c r="F165" s="53"/>
      <c r="G165" s="55"/>
      <c r="H165" s="166" t="s">
        <v>12</v>
      </c>
      <c r="I165" s="164"/>
      <c r="J165" s="164"/>
      <c r="K165" s="165"/>
      <c r="L165" s="59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59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59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59">
        <f t="shared" ca="1" si="74"/>
        <v>0</v>
      </c>
      <c r="P165" s="59">
        <f t="shared" ca="1" si="75"/>
        <v>0</v>
      </c>
    </row>
    <row r="166" spans="1:16" ht="19.5" x14ac:dyDescent="0.3">
      <c r="A166" s="167"/>
      <c r="B166" s="168"/>
      <c r="C166" s="158" t="s">
        <v>16</v>
      </c>
      <c r="D166" s="169" t="s">
        <v>36</v>
      </c>
      <c r="E166" s="170"/>
      <c r="F166" s="170"/>
      <c r="G166" s="171"/>
      <c r="H166" s="227"/>
      <c r="I166" s="57"/>
      <c r="J166" s="57"/>
      <c r="K166" s="58"/>
      <c r="L166" s="58"/>
      <c r="M166" s="58"/>
      <c r="N166" s="58"/>
      <c r="O166" s="58"/>
      <c r="P166" s="58"/>
    </row>
    <row r="167" spans="1:16" ht="18.75" x14ac:dyDescent="0.25">
      <c r="A167" s="157"/>
      <c r="B167" s="53"/>
      <c r="C167" s="53"/>
      <c r="D167" s="252" t="s">
        <v>63</v>
      </c>
      <c r="E167" s="53"/>
      <c r="F167" s="53"/>
      <c r="G167" s="55"/>
      <c r="H167" s="166" t="s">
        <v>33</v>
      </c>
      <c r="I167" s="182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105)</f>
        <v>105</v>
      </c>
      <c r="J167" s="182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0)</f>
        <v>0</v>
      </c>
      <c r="K167" s="59">
        <f t="shared" ref="K167:K169" ca="1" si="80">IF(I167&gt;0,J167*100/I167,0)</f>
        <v>0</v>
      </c>
      <c r="L167" s="58"/>
      <c r="M167" s="58"/>
      <c r="N167" s="58"/>
      <c r="O167" s="58"/>
      <c r="P167" s="58"/>
    </row>
    <row r="168" spans="1:16" ht="18.75" x14ac:dyDescent="0.25">
      <c r="A168" s="157"/>
      <c r="B168" s="53"/>
      <c r="C168" s="53"/>
      <c r="D168" s="252" t="s">
        <v>64</v>
      </c>
      <c r="E168" s="53"/>
      <c r="F168" s="53"/>
      <c r="G168" s="55"/>
      <c r="H168" s="166" t="s">
        <v>33</v>
      </c>
      <c r="I168" s="182">
        <f t="shared" ref="I168:I169" ca="1" si="81">I167</f>
        <v>105</v>
      </c>
      <c r="J168" s="182">
        <v>0</v>
      </c>
      <c r="K168" s="59">
        <f t="shared" ca="1" si="80"/>
        <v>0</v>
      </c>
      <c r="L168" s="58"/>
      <c r="M168" s="58"/>
      <c r="N168" s="58"/>
      <c r="O168" s="58"/>
      <c r="P168" s="58"/>
    </row>
    <row r="169" spans="1:16" ht="18.75" x14ac:dyDescent="0.25">
      <c r="A169" s="253"/>
      <c r="B169" s="1"/>
      <c r="C169" s="1"/>
      <c r="D169" s="254" t="s">
        <v>65</v>
      </c>
      <c r="E169" s="1"/>
      <c r="F169" s="1"/>
      <c r="G169" s="135"/>
      <c r="H169" s="255" t="s">
        <v>33</v>
      </c>
      <c r="I169" s="256">
        <f t="shared" ca="1" si="81"/>
        <v>105</v>
      </c>
      <c r="J169" s="256">
        <v>0</v>
      </c>
      <c r="K169" s="139">
        <f t="shared" ca="1" si="80"/>
        <v>0</v>
      </c>
      <c r="L169" s="138"/>
      <c r="M169" s="138"/>
      <c r="N169" s="138"/>
      <c r="O169" s="138"/>
      <c r="P169" s="138"/>
    </row>
    <row r="170" spans="1:16" ht="19.5" x14ac:dyDescent="0.3">
      <c r="A170" s="257" t="s">
        <v>66</v>
      </c>
      <c r="B170" s="258"/>
      <c r="C170" s="258"/>
      <c r="D170" s="258"/>
      <c r="E170" s="259"/>
      <c r="F170" s="259"/>
      <c r="G170" s="259"/>
      <c r="H170" s="259"/>
      <c r="I170" s="260"/>
      <c r="J170" s="260"/>
      <c r="K170" s="261"/>
      <c r="L170" s="261"/>
      <c r="M170" s="261"/>
      <c r="N170" s="261"/>
      <c r="O170" s="261"/>
      <c r="P170" s="262"/>
    </row>
    <row r="171" spans="1:16" ht="19.5" x14ac:dyDescent="0.3">
      <c r="A171" s="263" t="s">
        <v>67</v>
      </c>
      <c r="B171" s="264"/>
      <c r="C171" s="264"/>
      <c r="D171" s="265"/>
      <c r="E171" s="265"/>
      <c r="F171" s="265"/>
      <c r="G171" s="266"/>
      <c r="H171" s="266"/>
      <c r="I171" s="267"/>
      <c r="J171" s="267"/>
      <c r="K171" s="268"/>
      <c r="L171" s="268"/>
      <c r="M171" s="268"/>
      <c r="N171" s="268"/>
      <c r="O171" s="268"/>
      <c r="P171" s="268"/>
    </row>
    <row r="172" spans="1:16" ht="19.5" x14ac:dyDescent="0.3">
      <c r="A172" s="269"/>
      <c r="B172" s="270" t="s">
        <v>68</v>
      </c>
      <c r="C172" s="271"/>
      <c r="D172" s="170"/>
      <c r="E172" s="170"/>
      <c r="F172" s="170"/>
      <c r="G172" s="171"/>
      <c r="H172" s="272" t="s">
        <v>33</v>
      </c>
      <c r="I172" s="273">
        <f t="shared" ref="I172:J172" ca="1" si="82">I183+I184</f>
        <v>203</v>
      </c>
      <c r="J172" s="273">
        <f t="shared" ca="1" si="82"/>
        <v>35</v>
      </c>
      <c r="K172" s="274">
        <f ca="1">IF(I172&gt;0,J172*100/I172,0)</f>
        <v>17.241379310344829</v>
      </c>
      <c r="L172" s="275"/>
      <c r="M172" s="275"/>
      <c r="N172" s="275"/>
      <c r="O172" s="275"/>
      <c r="P172" s="275"/>
    </row>
    <row r="173" spans="1:16" ht="19.5" x14ac:dyDescent="0.3">
      <c r="A173" s="157"/>
      <c r="B173" s="53"/>
      <c r="C173" s="158" t="s">
        <v>16</v>
      </c>
      <c r="D173" s="159" t="s">
        <v>17</v>
      </c>
      <c r="E173" s="53"/>
      <c r="F173" s="53"/>
      <c r="G173" s="55"/>
      <c r="H173" s="160" t="s">
        <v>12</v>
      </c>
      <c r="I173" s="57"/>
      <c r="J173" s="57"/>
      <c r="K173" s="58"/>
      <c r="L173" s="161">
        <f t="shared" ref="L173:N173" ca="1" si="83">L174+L175</f>
        <v>372210</v>
      </c>
      <c r="M173" s="161">
        <f t="shared" ca="1" si="83"/>
        <v>372210</v>
      </c>
      <c r="N173" s="161">
        <f t="shared" ca="1" si="83"/>
        <v>157910</v>
      </c>
      <c r="O173" s="161">
        <f t="shared" ref="O173:O181" ca="1" si="84">IF(L173&gt;0,N173*100/L173,0)</f>
        <v>42.42497514843771</v>
      </c>
      <c r="P173" s="161">
        <f t="shared" ref="P173:P181" ca="1" si="85">IF(M173&gt;0,N173*100/M173,0)</f>
        <v>42.42497514843771</v>
      </c>
    </row>
    <row r="174" spans="1:16" ht="18.75" x14ac:dyDescent="0.25">
      <c r="A174" s="157"/>
      <c r="B174" s="53"/>
      <c r="C174" s="53"/>
      <c r="D174" s="53"/>
      <c r="E174" s="60" t="s">
        <v>18</v>
      </c>
      <c r="F174" s="53"/>
      <c r="G174" s="55"/>
      <c r="H174" s="162" t="s">
        <v>12</v>
      </c>
      <c r="I174" s="57"/>
      <c r="J174" s="57"/>
      <c r="K174" s="58"/>
      <c r="L174" s="59">
        <f t="shared" ref="L174:N174" ca="1" si="86">L177+L180</f>
        <v>0</v>
      </c>
      <c r="M174" s="59">
        <f t="shared" ca="1" si="86"/>
        <v>0</v>
      </c>
      <c r="N174" s="59">
        <f t="shared" ca="1" si="86"/>
        <v>0</v>
      </c>
      <c r="O174" s="59">
        <f t="shared" ca="1" si="84"/>
        <v>0</v>
      </c>
      <c r="P174" s="59">
        <f t="shared" ca="1" si="85"/>
        <v>0</v>
      </c>
    </row>
    <row r="175" spans="1:16" ht="18.75" x14ac:dyDescent="0.25">
      <c r="A175" s="157"/>
      <c r="B175" s="53"/>
      <c r="C175" s="53"/>
      <c r="D175" s="53"/>
      <c r="E175" s="60" t="s">
        <v>19</v>
      </c>
      <c r="F175" s="53"/>
      <c r="G175" s="55"/>
      <c r="H175" s="162" t="s">
        <v>12</v>
      </c>
      <c r="I175" s="57"/>
      <c r="J175" s="57"/>
      <c r="K175" s="58"/>
      <c r="L175" s="59">
        <f t="shared" ref="L175:N175" ca="1" si="87">L178+L181</f>
        <v>372210</v>
      </c>
      <c r="M175" s="59">
        <f t="shared" ca="1" si="87"/>
        <v>372210</v>
      </c>
      <c r="N175" s="59">
        <f t="shared" ca="1" si="87"/>
        <v>157910</v>
      </c>
      <c r="O175" s="59">
        <f t="shared" ca="1" si="84"/>
        <v>42.42497514843771</v>
      </c>
      <c r="P175" s="59">
        <f t="shared" ca="1" si="85"/>
        <v>42.42497514843771</v>
      </c>
    </row>
    <row r="176" spans="1:16" ht="18.75" x14ac:dyDescent="0.25">
      <c r="A176" s="157"/>
      <c r="B176" s="53"/>
      <c r="C176" s="53"/>
      <c r="D176" s="54" t="s">
        <v>20</v>
      </c>
      <c r="E176" s="53"/>
      <c r="F176" s="53"/>
      <c r="G176" s="55"/>
      <c r="H176" s="163" t="s">
        <v>12</v>
      </c>
      <c r="I176" s="164"/>
      <c r="J176" s="164"/>
      <c r="K176" s="165"/>
      <c r="L176" s="59">
        <f t="shared" ref="L176:N176" ca="1" si="88">L177+L178</f>
        <v>372210</v>
      </c>
      <c r="M176" s="59">
        <f t="shared" ca="1" si="88"/>
        <v>372210</v>
      </c>
      <c r="N176" s="59">
        <f t="shared" ca="1" si="88"/>
        <v>157910</v>
      </c>
      <c r="O176" s="59">
        <f t="shared" ca="1" si="84"/>
        <v>42.42497514843771</v>
      </c>
      <c r="P176" s="59">
        <f t="shared" ca="1" si="85"/>
        <v>42.42497514843771</v>
      </c>
    </row>
    <row r="177" spans="1:16" ht="18.75" x14ac:dyDescent="0.25">
      <c r="A177" s="157"/>
      <c r="B177" s="53"/>
      <c r="C177" s="53"/>
      <c r="D177" s="53"/>
      <c r="E177" s="60" t="s">
        <v>34</v>
      </c>
      <c r="F177" s="53"/>
      <c r="G177" s="55"/>
      <c r="H177" s="163" t="s">
        <v>12</v>
      </c>
      <c r="I177" s="164"/>
      <c r="J177" s="164"/>
      <c r="K177" s="165"/>
      <c r="L177" s="59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59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59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59">
        <f t="shared" ca="1" si="84"/>
        <v>0</v>
      </c>
      <c r="P177" s="59">
        <f t="shared" ca="1" si="85"/>
        <v>0</v>
      </c>
    </row>
    <row r="178" spans="1:16" ht="18.75" x14ac:dyDescent="0.25">
      <c r="A178" s="157"/>
      <c r="B178" s="53"/>
      <c r="C178" s="53"/>
      <c r="D178" s="53"/>
      <c r="E178" s="60" t="s">
        <v>35</v>
      </c>
      <c r="F178" s="53"/>
      <c r="G178" s="55"/>
      <c r="H178" s="163" t="s">
        <v>12</v>
      </c>
      <c r="I178" s="164"/>
      <c r="J178" s="164"/>
      <c r="K178" s="165"/>
      <c r="L178" s="59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59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372210)</f>
        <v>372210</v>
      </c>
      <c r="N178" s="59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157910)</f>
        <v>157910</v>
      </c>
      <c r="O178" s="59">
        <f t="shared" ca="1" si="84"/>
        <v>42.42497514843771</v>
      </c>
      <c r="P178" s="59">
        <f t="shared" ca="1" si="85"/>
        <v>42.42497514843771</v>
      </c>
    </row>
    <row r="179" spans="1:16" ht="18.75" x14ac:dyDescent="0.25">
      <c r="A179" s="157"/>
      <c r="B179" s="53"/>
      <c r="C179" s="53"/>
      <c r="D179" s="54" t="s">
        <v>21</v>
      </c>
      <c r="E179" s="53"/>
      <c r="F179" s="53"/>
      <c r="G179" s="55"/>
      <c r="H179" s="166" t="s">
        <v>12</v>
      </c>
      <c r="I179" s="164"/>
      <c r="J179" s="164"/>
      <c r="K179" s="165"/>
      <c r="L179" s="59">
        <f t="shared" ref="L179:N179" ca="1" si="89">L180+L181</f>
        <v>0</v>
      </c>
      <c r="M179" s="59">
        <f t="shared" ca="1" si="89"/>
        <v>0</v>
      </c>
      <c r="N179" s="59">
        <f t="shared" ca="1" si="89"/>
        <v>0</v>
      </c>
      <c r="O179" s="59">
        <f t="shared" ca="1" si="84"/>
        <v>0</v>
      </c>
      <c r="P179" s="59">
        <f t="shared" ca="1" si="85"/>
        <v>0</v>
      </c>
    </row>
    <row r="180" spans="1:16" ht="18.75" x14ac:dyDescent="0.25">
      <c r="A180" s="157"/>
      <c r="B180" s="53"/>
      <c r="C180" s="53"/>
      <c r="D180" s="53"/>
      <c r="E180" s="60" t="s">
        <v>18</v>
      </c>
      <c r="F180" s="53"/>
      <c r="G180" s="55"/>
      <c r="H180" s="163" t="s">
        <v>12</v>
      </c>
      <c r="I180" s="164"/>
      <c r="J180" s="164"/>
      <c r="K180" s="165"/>
      <c r="L180" s="59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59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59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59">
        <f t="shared" ca="1" si="84"/>
        <v>0</v>
      </c>
      <c r="P180" s="59">
        <f t="shared" ca="1" si="85"/>
        <v>0</v>
      </c>
    </row>
    <row r="181" spans="1:16" ht="18.75" x14ac:dyDescent="0.25">
      <c r="A181" s="157"/>
      <c r="B181" s="53"/>
      <c r="C181" s="53"/>
      <c r="D181" s="53"/>
      <c r="E181" s="60" t="s">
        <v>19</v>
      </c>
      <c r="F181" s="53"/>
      <c r="G181" s="55"/>
      <c r="H181" s="166" t="s">
        <v>12</v>
      </c>
      <c r="I181" s="164"/>
      <c r="J181" s="164"/>
      <c r="K181" s="165"/>
      <c r="L181" s="59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59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59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59">
        <f t="shared" ca="1" si="84"/>
        <v>0</v>
      </c>
      <c r="P181" s="59">
        <f t="shared" ca="1" si="85"/>
        <v>0</v>
      </c>
    </row>
    <row r="182" spans="1:16" ht="19.5" x14ac:dyDescent="0.3">
      <c r="A182" s="167"/>
      <c r="B182" s="168"/>
      <c r="C182" s="158" t="s">
        <v>16</v>
      </c>
      <c r="D182" s="169" t="s">
        <v>36</v>
      </c>
      <c r="E182" s="170"/>
      <c r="F182" s="170"/>
      <c r="G182" s="171"/>
      <c r="H182" s="227"/>
      <c r="I182" s="57"/>
      <c r="J182" s="57"/>
      <c r="K182" s="58"/>
      <c r="L182" s="58"/>
      <c r="M182" s="58"/>
      <c r="N182" s="58"/>
      <c r="O182" s="58"/>
      <c r="P182" s="58"/>
    </row>
    <row r="183" spans="1:16" ht="18.75" x14ac:dyDescent="0.25">
      <c r="A183" s="276"/>
      <c r="B183" s="53"/>
      <c r="C183" s="277"/>
      <c r="D183" s="278" t="s">
        <v>69</v>
      </c>
      <c r="E183" s="53"/>
      <c r="F183" s="53"/>
      <c r="G183" s="55"/>
      <c r="H183" s="279" t="s">
        <v>33</v>
      </c>
      <c r="I183" s="182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133)</f>
        <v>133</v>
      </c>
      <c r="J183" s="182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35)</f>
        <v>35</v>
      </c>
      <c r="K183" s="59">
        <f t="shared" ref="K183:K185" ca="1" si="90">IF(I183&gt;0,J183*100/I183,0)</f>
        <v>26.315789473684209</v>
      </c>
      <c r="L183" s="58"/>
      <c r="M183" s="58"/>
      <c r="N183" s="58"/>
      <c r="O183" s="58"/>
      <c r="P183" s="58"/>
    </row>
    <row r="184" spans="1:16" ht="18.75" x14ac:dyDescent="0.25">
      <c r="A184" s="276"/>
      <c r="B184" s="280"/>
      <c r="C184" s="277"/>
      <c r="D184" s="278" t="s">
        <v>70</v>
      </c>
      <c r="E184" s="53"/>
      <c r="F184" s="53"/>
      <c r="G184" s="55"/>
      <c r="H184" s="279" t="s">
        <v>33</v>
      </c>
      <c r="I184" s="182">
        <v>70</v>
      </c>
      <c r="J184" s="182">
        <v>0</v>
      </c>
      <c r="K184" s="59">
        <f t="shared" si="90"/>
        <v>0</v>
      </c>
      <c r="L184" s="58"/>
      <c r="M184" s="58"/>
      <c r="N184" s="58"/>
      <c r="O184" s="58"/>
      <c r="P184" s="58"/>
    </row>
    <row r="185" spans="1:16" ht="19.5" x14ac:dyDescent="0.3">
      <c r="A185" s="269"/>
      <c r="B185" s="270" t="s">
        <v>71</v>
      </c>
      <c r="C185" s="271"/>
      <c r="D185" s="170"/>
      <c r="E185" s="170"/>
      <c r="F185" s="170"/>
      <c r="G185" s="171"/>
      <c r="H185" s="272" t="s">
        <v>33</v>
      </c>
      <c r="I185" s="273">
        <f t="shared" ref="I185:J185" ca="1" si="91">I230+I231</f>
        <v>0</v>
      </c>
      <c r="J185" s="273">
        <f t="shared" ca="1" si="91"/>
        <v>0</v>
      </c>
      <c r="K185" s="274">
        <f t="shared" ca="1" si="90"/>
        <v>0</v>
      </c>
      <c r="L185" s="275"/>
      <c r="M185" s="275"/>
      <c r="N185" s="275"/>
      <c r="O185" s="275"/>
      <c r="P185" s="275"/>
    </row>
    <row r="186" spans="1:16" ht="19.5" x14ac:dyDescent="0.3">
      <c r="A186" s="157"/>
      <c r="B186" s="53"/>
      <c r="C186" s="158" t="s">
        <v>16</v>
      </c>
      <c r="D186" s="159" t="s">
        <v>17</v>
      </c>
      <c r="E186" s="53"/>
      <c r="F186" s="53"/>
      <c r="G186" s="55"/>
      <c r="H186" s="160" t="s">
        <v>12</v>
      </c>
      <c r="I186" s="57"/>
      <c r="J186" s="57"/>
      <c r="K186" s="58"/>
      <c r="L186" s="161">
        <f t="shared" ref="L186:N186" ca="1" si="92">L187+L188</f>
        <v>3396000</v>
      </c>
      <c r="M186" s="161">
        <f t="shared" ca="1" si="92"/>
        <v>2724225</v>
      </c>
      <c r="N186" s="161">
        <f t="shared" ca="1" si="92"/>
        <v>850212.09</v>
      </c>
      <c r="O186" s="161">
        <f t="shared" ref="O186:O194" ca="1" si="93">IF(L186&gt;0,N186*100/L186,0)</f>
        <v>25.035691696113073</v>
      </c>
      <c r="P186" s="161">
        <f t="shared" ref="P186:P194" ca="1" si="94">IF(M186&gt;0,N186*100/M186,0)</f>
        <v>31.20931971478127</v>
      </c>
    </row>
    <row r="187" spans="1:16" ht="18.75" x14ac:dyDescent="0.25">
      <c r="A187" s="157"/>
      <c r="B187" s="53"/>
      <c r="C187" s="53"/>
      <c r="D187" s="53"/>
      <c r="E187" s="60" t="s">
        <v>18</v>
      </c>
      <c r="F187" s="53"/>
      <c r="G187" s="55"/>
      <c r="H187" s="162" t="s">
        <v>12</v>
      </c>
      <c r="I187" s="57"/>
      <c r="J187" s="57"/>
      <c r="K187" s="58"/>
      <c r="L187" s="59">
        <f t="shared" ref="L187:N187" ca="1" si="95">L190+L193</f>
        <v>0</v>
      </c>
      <c r="M187" s="59">
        <f t="shared" ca="1" si="95"/>
        <v>0</v>
      </c>
      <c r="N187" s="59">
        <f t="shared" ca="1" si="95"/>
        <v>0</v>
      </c>
      <c r="O187" s="59">
        <f t="shared" ca="1" si="93"/>
        <v>0</v>
      </c>
      <c r="P187" s="59">
        <f t="shared" ca="1" si="94"/>
        <v>0</v>
      </c>
    </row>
    <row r="188" spans="1:16" ht="18.75" x14ac:dyDescent="0.25">
      <c r="A188" s="157"/>
      <c r="B188" s="53"/>
      <c r="C188" s="53"/>
      <c r="D188" s="53"/>
      <c r="E188" s="60" t="s">
        <v>19</v>
      </c>
      <c r="F188" s="53"/>
      <c r="G188" s="55"/>
      <c r="H188" s="162" t="s">
        <v>12</v>
      </c>
      <c r="I188" s="57"/>
      <c r="J188" s="57"/>
      <c r="K188" s="58"/>
      <c r="L188" s="59">
        <f t="shared" ref="L188:N188" ca="1" si="96">L191+L194</f>
        <v>3396000</v>
      </c>
      <c r="M188" s="59">
        <f t="shared" ca="1" si="96"/>
        <v>2724225</v>
      </c>
      <c r="N188" s="59">
        <f t="shared" ca="1" si="96"/>
        <v>850212.09</v>
      </c>
      <c r="O188" s="59">
        <f t="shared" ca="1" si="93"/>
        <v>25.035691696113073</v>
      </c>
      <c r="P188" s="59">
        <f t="shared" ca="1" si="94"/>
        <v>31.20931971478127</v>
      </c>
    </row>
    <row r="189" spans="1:16" ht="18.75" x14ac:dyDescent="0.25">
      <c r="A189" s="157"/>
      <c r="B189" s="53"/>
      <c r="C189" s="53"/>
      <c r="D189" s="54" t="s">
        <v>20</v>
      </c>
      <c r="E189" s="53"/>
      <c r="F189" s="53"/>
      <c r="G189" s="55"/>
      <c r="H189" s="163" t="s">
        <v>12</v>
      </c>
      <c r="I189" s="164"/>
      <c r="J189" s="164"/>
      <c r="K189" s="165"/>
      <c r="L189" s="59">
        <f t="shared" ref="L189:N189" ca="1" si="97">L190+L191</f>
        <v>3396000</v>
      </c>
      <c r="M189" s="59">
        <f t="shared" ca="1" si="97"/>
        <v>2724225</v>
      </c>
      <c r="N189" s="59">
        <f t="shared" ca="1" si="97"/>
        <v>850212.09</v>
      </c>
      <c r="O189" s="59">
        <f t="shared" ca="1" si="93"/>
        <v>25.035691696113073</v>
      </c>
      <c r="P189" s="59">
        <f t="shared" ca="1" si="94"/>
        <v>31.20931971478127</v>
      </c>
    </row>
    <row r="190" spans="1:16" ht="18.75" x14ac:dyDescent="0.25">
      <c r="A190" s="157"/>
      <c r="B190" s="53"/>
      <c r="C190" s="53"/>
      <c r="D190" s="53"/>
      <c r="E190" s="60" t="s">
        <v>34</v>
      </c>
      <c r="F190" s="53"/>
      <c r="G190" s="55"/>
      <c r="H190" s="163" t="s">
        <v>12</v>
      </c>
      <c r="I190" s="164"/>
      <c r="J190" s="164"/>
      <c r="K190" s="165"/>
      <c r="L190" s="59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59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59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59">
        <f t="shared" ca="1" si="93"/>
        <v>0</v>
      </c>
      <c r="P190" s="59">
        <f t="shared" ca="1" si="94"/>
        <v>0</v>
      </c>
    </row>
    <row r="191" spans="1:16" ht="18.75" x14ac:dyDescent="0.25">
      <c r="A191" s="157"/>
      <c r="B191" s="53"/>
      <c r="C191" s="53"/>
      <c r="D191" s="53"/>
      <c r="E191" s="60" t="s">
        <v>35</v>
      </c>
      <c r="F191" s="53"/>
      <c r="G191" s="55"/>
      <c r="H191" s="163" t="s">
        <v>12</v>
      </c>
      <c r="I191" s="164"/>
      <c r="J191" s="164"/>
      <c r="K191" s="165"/>
      <c r="L191" s="59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3396000)</f>
        <v>3396000</v>
      </c>
      <c r="M191" s="59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2724225)</f>
        <v>2724225</v>
      </c>
      <c r="N191" s="59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850212.09)</f>
        <v>850212.09</v>
      </c>
      <c r="O191" s="59">
        <f t="shared" ca="1" si="93"/>
        <v>25.035691696113073</v>
      </c>
      <c r="P191" s="59">
        <f t="shared" ca="1" si="94"/>
        <v>31.20931971478127</v>
      </c>
    </row>
    <row r="192" spans="1:16" ht="18.75" x14ac:dyDescent="0.25">
      <c r="A192" s="157"/>
      <c r="B192" s="53"/>
      <c r="C192" s="53"/>
      <c r="D192" s="54" t="s">
        <v>21</v>
      </c>
      <c r="E192" s="53"/>
      <c r="F192" s="53"/>
      <c r="G192" s="55"/>
      <c r="H192" s="166" t="s">
        <v>12</v>
      </c>
      <c r="I192" s="164"/>
      <c r="J192" s="164"/>
      <c r="K192" s="165"/>
      <c r="L192" s="59">
        <f t="shared" ref="L192:N192" ca="1" si="98">L193+L194</f>
        <v>0</v>
      </c>
      <c r="M192" s="59">
        <f t="shared" ca="1" si="98"/>
        <v>0</v>
      </c>
      <c r="N192" s="59">
        <f t="shared" ca="1" si="98"/>
        <v>0</v>
      </c>
      <c r="O192" s="59">
        <f t="shared" ca="1" si="93"/>
        <v>0</v>
      </c>
      <c r="P192" s="59">
        <f t="shared" ca="1" si="94"/>
        <v>0</v>
      </c>
    </row>
    <row r="193" spans="1:16" ht="18.75" x14ac:dyDescent="0.25">
      <c r="A193" s="157"/>
      <c r="B193" s="53"/>
      <c r="C193" s="53"/>
      <c r="D193" s="53"/>
      <c r="E193" s="60" t="s">
        <v>18</v>
      </c>
      <c r="F193" s="53"/>
      <c r="G193" s="55"/>
      <c r="H193" s="163" t="s">
        <v>12</v>
      </c>
      <c r="I193" s="164"/>
      <c r="J193" s="164"/>
      <c r="K193" s="165"/>
      <c r="L193" s="59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59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59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59">
        <f t="shared" ca="1" si="93"/>
        <v>0</v>
      </c>
      <c r="P193" s="59">
        <f t="shared" ca="1" si="94"/>
        <v>0</v>
      </c>
    </row>
    <row r="194" spans="1:16" ht="18.75" x14ac:dyDescent="0.25">
      <c r="A194" s="157"/>
      <c r="B194" s="53"/>
      <c r="C194" s="53"/>
      <c r="D194" s="53"/>
      <c r="E194" s="60" t="s">
        <v>19</v>
      </c>
      <c r="F194" s="53"/>
      <c r="G194" s="55"/>
      <c r="H194" s="166" t="s">
        <v>12</v>
      </c>
      <c r="I194" s="164"/>
      <c r="J194" s="164"/>
      <c r="K194" s="165"/>
      <c r="L194" s="59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0)</f>
        <v>0</v>
      </c>
      <c r="M194" s="59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0)</f>
        <v>0</v>
      </c>
      <c r="N194" s="59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59">
        <f t="shared" ca="1" si="93"/>
        <v>0</v>
      </c>
      <c r="P194" s="59">
        <f t="shared" ca="1" si="94"/>
        <v>0</v>
      </c>
    </row>
    <row r="195" spans="1:16" ht="19.5" x14ac:dyDescent="0.3">
      <c r="A195" s="281"/>
      <c r="B195" s="282"/>
      <c r="C195" s="283" t="s">
        <v>72</v>
      </c>
      <c r="D195" s="284"/>
      <c r="E195" s="284"/>
      <c r="F195" s="284"/>
      <c r="G195" s="285"/>
      <c r="H195" s="286" t="s">
        <v>73</v>
      </c>
      <c r="I195" s="287">
        <f t="shared" ref="I195:J195" ca="1" si="99">I198</f>
        <v>84</v>
      </c>
      <c r="J195" s="287">
        <f t="shared" ca="1" si="99"/>
        <v>12</v>
      </c>
      <c r="K195" s="288">
        <f ca="1">IF(I195&gt;0,J195*100/I195,0)</f>
        <v>14.285714285714286</v>
      </c>
      <c r="L195" s="289"/>
      <c r="M195" s="289"/>
      <c r="N195" s="289"/>
      <c r="O195" s="289"/>
      <c r="P195" s="289"/>
    </row>
    <row r="196" spans="1:16" ht="19.5" x14ac:dyDescent="0.3">
      <c r="A196" s="157"/>
      <c r="B196" s="53"/>
      <c r="C196" s="158" t="s">
        <v>16</v>
      </c>
      <c r="D196" s="290" t="s">
        <v>17</v>
      </c>
      <c r="E196" s="53"/>
      <c r="F196" s="53"/>
      <c r="G196" s="55"/>
      <c r="H196" s="291" t="s">
        <v>12</v>
      </c>
      <c r="I196" s="57"/>
      <c r="J196" s="57"/>
      <c r="K196" s="58"/>
      <c r="L196" s="161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58"/>
      <c r="N196" s="161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10810)</f>
        <v>10810</v>
      </c>
      <c r="O196" s="161">
        <f ca="1">IF(L196&gt;0,N196*100/L196,0)</f>
        <v>8.5793650793650791</v>
      </c>
      <c r="P196" s="161"/>
    </row>
    <row r="197" spans="1:16" ht="19.5" x14ac:dyDescent="0.3">
      <c r="A197" s="167"/>
      <c r="B197" s="168"/>
      <c r="C197" s="158" t="s">
        <v>16</v>
      </c>
      <c r="D197" s="169" t="s">
        <v>36</v>
      </c>
      <c r="E197" s="170"/>
      <c r="F197" s="170"/>
      <c r="G197" s="171"/>
      <c r="H197" s="172"/>
      <c r="I197" s="57"/>
      <c r="J197" s="57"/>
      <c r="K197" s="58"/>
      <c r="L197" s="58"/>
      <c r="M197" s="58"/>
      <c r="N197" s="58"/>
      <c r="O197" s="58"/>
      <c r="P197" s="58"/>
    </row>
    <row r="198" spans="1:16" ht="18.75" x14ac:dyDescent="0.25">
      <c r="A198" s="167"/>
      <c r="B198" s="168"/>
      <c r="C198" s="168"/>
      <c r="D198" s="195" t="s">
        <v>74</v>
      </c>
      <c r="E198" s="174"/>
      <c r="F198" s="174"/>
      <c r="G198" s="172"/>
      <c r="H198" s="180" t="s">
        <v>73</v>
      </c>
      <c r="I198" s="196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182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12)</f>
        <v>12</v>
      </c>
      <c r="K198" s="59">
        <f ca="1">IF(I198&gt;0,J198*100/I198,0)</f>
        <v>14.285714285714286</v>
      </c>
      <c r="L198" s="58"/>
      <c r="M198" s="58"/>
      <c r="N198" s="58"/>
      <c r="O198" s="58"/>
      <c r="P198" s="58"/>
    </row>
    <row r="199" spans="1:16" ht="19.5" x14ac:dyDescent="0.3">
      <c r="A199" s="167"/>
      <c r="B199" s="168"/>
      <c r="C199" s="168"/>
      <c r="D199" s="195" t="s">
        <v>75</v>
      </c>
      <c r="E199" s="174"/>
      <c r="F199" s="174"/>
      <c r="G199" s="172"/>
      <c r="H199" s="292" t="s">
        <v>33</v>
      </c>
      <c r="I199" s="57"/>
      <c r="J199" s="176">
        <f ca="1">J200+J201</f>
        <v>454</v>
      </c>
      <c r="K199" s="58"/>
      <c r="L199" s="58"/>
      <c r="M199" s="58"/>
      <c r="N199" s="58"/>
      <c r="O199" s="58"/>
      <c r="P199" s="58"/>
    </row>
    <row r="200" spans="1:16" ht="18.75" x14ac:dyDescent="0.25">
      <c r="A200" s="167"/>
      <c r="B200" s="168"/>
      <c r="C200" s="168"/>
      <c r="D200" s="168"/>
      <c r="E200" s="195" t="s">
        <v>76</v>
      </c>
      <c r="F200" s="174"/>
      <c r="G200" s="172"/>
      <c r="H200" s="279" t="s">
        <v>33</v>
      </c>
      <c r="I200" s="57"/>
      <c r="J200" s="182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454)</f>
        <v>454</v>
      </c>
      <c r="K200" s="58"/>
      <c r="L200" s="58"/>
      <c r="M200" s="58"/>
      <c r="N200" s="58"/>
      <c r="O200" s="58"/>
      <c r="P200" s="58"/>
    </row>
    <row r="201" spans="1:16" ht="18.75" x14ac:dyDescent="0.25">
      <c r="A201" s="167"/>
      <c r="B201" s="168"/>
      <c r="C201" s="168"/>
      <c r="D201" s="168"/>
      <c r="E201" s="195" t="s">
        <v>77</v>
      </c>
      <c r="F201" s="174"/>
      <c r="G201" s="172"/>
      <c r="H201" s="279" t="s">
        <v>33</v>
      </c>
      <c r="I201" s="57"/>
      <c r="J201" s="182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58"/>
      <c r="L201" s="58"/>
      <c r="M201" s="58"/>
      <c r="N201" s="58"/>
      <c r="O201" s="58"/>
      <c r="P201" s="58"/>
    </row>
    <row r="202" spans="1:16" ht="19.5" x14ac:dyDescent="0.3">
      <c r="A202" s="281"/>
      <c r="B202" s="282"/>
      <c r="C202" s="283" t="s">
        <v>78</v>
      </c>
      <c r="D202" s="284"/>
      <c r="E202" s="284"/>
      <c r="F202" s="284"/>
      <c r="G202" s="285"/>
      <c r="H202" s="293" t="s">
        <v>79</v>
      </c>
      <c r="I202" s="287">
        <f t="shared" ref="I202:J202" ca="1" si="100">I209</f>
        <v>30</v>
      </c>
      <c r="J202" s="287">
        <f t="shared" ca="1" si="100"/>
        <v>3</v>
      </c>
      <c r="K202" s="288">
        <f ca="1">IF(I202&gt;0,J202*100/I202,0)</f>
        <v>10</v>
      </c>
      <c r="L202" s="289"/>
      <c r="M202" s="289"/>
      <c r="N202" s="289"/>
      <c r="O202" s="289"/>
      <c r="P202" s="289"/>
    </row>
    <row r="203" spans="1:16" ht="19.5" x14ac:dyDescent="0.3">
      <c r="A203" s="157"/>
      <c r="B203" s="53"/>
      <c r="C203" s="158" t="s">
        <v>16</v>
      </c>
      <c r="D203" s="290" t="s">
        <v>17</v>
      </c>
      <c r="E203" s="53"/>
      <c r="F203" s="53"/>
      <c r="G203" s="55"/>
      <c r="H203" s="291" t="s">
        <v>12</v>
      </c>
      <c r="I203" s="164"/>
      <c r="J203" s="164"/>
      <c r="K203" s="165"/>
      <c r="L203" s="161">
        <f ca="1">L204+L205+L206+L207</f>
        <v>403000</v>
      </c>
      <c r="M203" s="58"/>
      <c r="N203" s="161">
        <f ca="1">N204+N205+N206+N207</f>
        <v>38707</v>
      </c>
      <c r="O203" s="161">
        <f ca="1">IF(L203&gt;0,N203*100/L203,0)</f>
        <v>9.6047146401985106</v>
      </c>
      <c r="P203" s="161"/>
    </row>
    <row r="204" spans="1:16" ht="18.75" x14ac:dyDescent="0.25">
      <c r="A204" s="157"/>
      <c r="B204" s="280"/>
      <c r="C204" s="53"/>
      <c r="D204" s="294" t="s">
        <v>80</v>
      </c>
      <c r="E204" s="53"/>
      <c r="F204" s="53"/>
      <c r="G204" s="55"/>
      <c r="H204" s="163" t="s">
        <v>12</v>
      </c>
      <c r="I204" s="164"/>
      <c r="J204" s="164"/>
      <c r="K204" s="165"/>
      <c r="L204" s="59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30000)</f>
        <v>30000</v>
      </c>
      <c r="M204" s="58"/>
      <c r="N204" s="59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1960)</f>
        <v>1960</v>
      </c>
      <c r="O204" s="183"/>
      <c r="P204" s="58"/>
    </row>
    <row r="205" spans="1:16" ht="18.75" x14ac:dyDescent="0.25">
      <c r="A205" s="276"/>
      <c r="B205" s="280"/>
      <c r="C205" s="53"/>
      <c r="D205" s="295" t="s">
        <v>81</v>
      </c>
      <c r="E205" s="53"/>
      <c r="F205" s="53"/>
      <c r="G205" s="55"/>
      <c r="H205" s="56" t="s">
        <v>12</v>
      </c>
      <c r="I205" s="57"/>
      <c r="J205" s="57"/>
      <c r="K205" s="58"/>
      <c r="L205" s="61">
        <v>0</v>
      </c>
      <c r="M205" s="58"/>
      <c r="N205" s="61">
        <v>0</v>
      </c>
      <c r="O205" s="183"/>
      <c r="P205" s="58"/>
    </row>
    <row r="206" spans="1:16" ht="18.75" x14ac:dyDescent="0.25">
      <c r="A206" s="276"/>
      <c r="B206" s="280"/>
      <c r="C206" s="53"/>
      <c r="D206" s="295" t="s">
        <v>82</v>
      </c>
      <c r="E206" s="53"/>
      <c r="F206" s="53"/>
      <c r="G206" s="55"/>
      <c r="H206" s="56" t="s">
        <v>12</v>
      </c>
      <c r="I206" s="57"/>
      <c r="J206" s="57"/>
      <c r="K206" s="58"/>
      <c r="L206" s="59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240000)</f>
        <v>240000</v>
      </c>
      <c r="M206" s="58"/>
      <c r="N206" s="59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183"/>
      <c r="P206" s="58"/>
    </row>
    <row r="207" spans="1:16" ht="18.75" x14ac:dyDescent="0.25">
      <c r="A207" s="276"/>
      <c r="B207" s="280"/>
      <c r="C207" s="53"/>
      <c r="D207" s="295" t="s">
        <v>83</v>
      </c>
      <c r="E207" s="53"/>
      <c r="F207" s="53"/>
      <c r="G207" s="55"/>
      <c r="H207" s="56" t="s">
        <v>12</v>
      </c>
      <c r="I207" s="57"/>
      <c r="J207" s="57"/>
      <c r="K207" s="58"/>
      <c r="L207" s="59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133000)</f>
        <v>133000</v>
      </c>
      <c r="M207" s="58"/>
      <c r="N207" s="59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0)</f>
        <v>0</v>
      </c>
      <c r="O207" s="183"/>
      <c r="P207" s="58"/>
    </row>
    <row r="208" spans="1:16" ht="19.5" x14ac:dyDescent="0.3">
      <c r="A208" s="167"/>
      <c r="B208" s="168"/>
      <c r="C208" s="158" t="s">
        <v>16</v>
      </c>
      <c r="D208" s="169" t="s">
        <v>36</v>
      </c>
      <c r="E208" s="170"/>
      <c r="F208" s="170"/>
      <c r="G208" s="171"/>
      <c r="H208" s="172"/>
      <c r="I208" s="164"/>
      <c r="J208" s="164"/>
      <c r="K208" s="165"/>
      <c r="L208" s="165"/>
      <c r="M208" s="165"/>
      <c r="N208" s="165"/>
      <c r="O208" s="165"/>
      <c r="P208" s="165"/>
    </row>
    <row r="209" spans="1:16" ht="18.75" x14ac:dyDescent="0.25">
      <c r="A209" s="167"/>
      <c r="B209" s="168"/>
      <c r="C209" s="168"/>
      <c r="D209" s="173" t="s">
        <v>84</v>
      </c>
      <c r="E209" s="174"/>
      <c r="F209" s="174"/>
      <c r="G209" s="172"/>
      <c r="H209" s="296" t="s">
        <v>79</v>
      </c>
      <c r="I209" s="196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30)</f>
        <v>30</v>
      </c>
      <c r="J209" s="196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3)</f>
        <v>3</v>
      </c>
      <c r="K209" s="183">
        <f ca="1">IF(I209&gt;0,J209*100/I209,0)</f>
        <v>10</v>
      </c>
      <c r="L209" s="58"/>
      <c r="M209" s="58"/>
      <c r="N209" s="58"/>
      <c r="O209" s="58"/>
      <c r="P209" s="58"/>
    </row>
    <row r="210" spans="1:16" ht="18.75" x14ac:dyDescent="0.25">
      <c r="A210" s="167"/>
      <c r="B210" s="168"/>
      <c r="C210" s="168"/>
      <c r="D210" s="195" t="s">
        <v>48</v>
      </c>
      <c r="E210" s="174"/>
      <c r="F210" s="174"/>
      <c r="G210" s="172"/>
      <c r="H210" s="172"/>
      <c r="I210" s="57"/>
      <c r="J210" s="57"/>
      <c r="K210" s="165"/>
      <c r="L210" s="58"/>
      <c r="M210" s="58"/>
      <c r="N210" s="58"/>
      <c r="O210" s="58"/>
      <c r="P210" s="58"/>
    </row>
    <row r="211" spans="1:16" ht="18.75" x14ac:dyDescent="0.25">
      <c r="A211" s="167"/>
      <c r="B211" s="168"/>
      <c r="C211" s="168"/>
      <c r="D211" s="174"/>
      <c r="E211" s="195" t="s">
        <v>85</v>
      </c>
      <c r="F211" s="174"/>
      <c r="G211" s="172"/>
      <c r="H211" s="296" t="s">
        <v>79</v>
      </c>
      <c r="I211" s="182">
        <v>0</v>
      </c>
      <c r="J211" s="196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0)</f>
        <v>0</v>
      </c>
      <c r="K211" s="183">
        <f t="shared" ref="K211:K213" si="101">IF(I211&gt;0,J211*100/I211,0)</f>
        <v>0</v>
      </c>
      <c r="L211" s="58"/>
      <c r="M211" s="58"/>
      <c r="N211" s="58"/>
      <c r="O211" s="58"/>
      <c r="P211" s="58"/>
    </row>
    <row r="212" spans="1:16" ht="18.75" x14ac:dyDescent="0.25">
      <c r="A212" s="167"/>
      <c r="B212" s="168"/>
      <c r="C212" s="168"/>
      <c r="D212" s="174"/>
      <c r="E212" s="195" t="s">
        <v>86</v>
      </c>
      <c r="F212" s="174"/>
      <c r="G212" s="174"/>
      <c r="H212" s="297" t="s">
        <v>87</v>
      </c>
      <c r="I212" s="182">
        <v>0</v>
      </c>
      <c r="J212" s="196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0)</f>
        <v>0</v>
      </c>
      <c r="K212" s="183">
        <f t="shared" si="101"/>
        <v>0</v>
      </c>
      <c r="L212" s="58"/>
      <c r="M212" s="58"/>
      <c r="N212" s="58"/>
      <c r="O212" s="58"/>
      <c r="P212" s="58"/>
    </row>
    <row r="213" spans="1:16" ht="19.5" x14ac:dyDescent="0.3">
      <c r="A213" s="281"/>
      <c r="B213" s="282"/>
      <c r="C213" s="283" t="s">
        <v>88</v>
      </c>
      <c r="D213" s="284"/>
      <c r="E213" s="284"/>
      <c r="F213" s="284"/>
      <c r="G213" s="285"/>
      <c r="H213" s="293" t="s">
        <v>79</v>
      </c>
      <c r="I213" s="287">
        <f t="shared" ref="I213:J213" ca="1" si="102">I220</f>
        <v>14</v>
      </c>
      <c r="J213" s="287">
        <f t="shared" ca="1" si="102"/>
        <v>1</v>
      </c>
      <c r="K213" s="288">
        <f t="shared" ca="1" si="101"/>
        <v>7.1428571428571432</v>
      </c>
      <c r="L213" s="289"/>
      <c r="M213" s="289"/>
      <c r="N213" s="289"/>
      <c r="O213" s="289"/>
      <c r="P213" s="289"/>
    </row>
    <row r="214" spans="1:16" ht="19.5" x14ac:dyDescent="0.3">
      <c r="A214" s="157"/>
      <c r="B214" s="53"/>
      <c r="C214" s="158" t="s">
        <v>16</v>
      </c>
      <c r="D214" s="290" t="s">
        <v>17</v>
      </c>
      <c r="E214" s="53"/>
      <c r="F214" s="53"/>
      <c r="G214" s="55"/>
      <c r="H214" s="291" t="s">
        <v>12</v>
      </c>
      <c r="I214" s="164"/>
      <c r="J214" s="164"/>
      <c r="K214" s="165"/>
      <c r="L214" s="161">
        <f ca="1">L215+L216+L217</f>
        <v>196000</v>
      </c>
      <c r="M214" s="58"/>
      <c r="N214" s="161">
        <f ca="1">N215+N216+N217</f>
        <v>8240</v>
      </c>
      <c r="O214" s="161">
        <f ca="1">IF(L214&gt;0,N214*100/L214,0)</f>
        <v>4.204081632653061</v>
      </c>
      <c r="P214" s="161"/>
    </row>
    <row r="215" spans="1:16" ht="18.75" x14ac:dyDescent="0.25">
      <c r="A215" s="157"/>
      <c r="B215" s="280"/>
      <c r="C215" s="53"/>
      <c r="D215" s="60" t="s">
        <v>80</v>
      </c>
      <c r="E215" s="53"/>
      <c r="F215" s="53"/>
      <c r="G215" s="55"/>
      <c r="H215" s="163" t="s">
        <v>12</v>
      </c>
      <c r="I215" s="164"/>
      <c r="J215" s="164"/>
      <c r="K215" s="165"/>
      <c r="L215" s="59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14000)</f>
        <v>14000</v>
      </c>
      <c r="M215" s="58"/>
      <c r="N215" s="59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240)</f>
        <v>240</v>
      </c>
      <c r="O215" s="183"/>
      <c r="P215" s="58"/>
    </row>
    <row r="216" spans="1:16" ht="18.75" x14ac:dyDescent="0.25">
      <c r="A216" s="276"/>
      <c r="B216" s="280"/>
      <c r="C216" s="280"/>
      <c r="D216" s="60" t="s">
        <v>89</v>
      </c>
      <c r="E216" s="53"/>
      <c r="F216" s="53"/>
      <c r="G216" s="55"/>
      <c r="H216" s="163" t="s">
        <v>12</v>
      </c>
      <c r="I216" s="57"/>
      <c r="J216" s="57"/>
      <c r="K216" s="58"/>
      <c r="L216" s="59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70000)</f>
        <v>70000</v>
      </c>
      <c r="M216" s="58"/>
      <c r="N216" s="59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0)</f>
        <v>0</v>
      </c>
      <c r="O216" s="183"/>
      <c r="P216" s="58"/>
    </row>
    <row r="217" spans="1:16" ht="18.75" x14ac:dyDescent="0.25">
      <c r="A217" s="276"/>
      <c r="B217" s="280"/>
      <c r="C217" s="280"/>
      <c r="D217" s="60" t="s">
        <v>82</v>
      </c>
      <c r="E217" s="53"/>
      <c r="F217" s="53"/>
      <c r="G217" s="55"/>
      <c r="H217" s="163" t="s">
        <v>12</v>
      </c>
      <c r="I217" s="57"/>
      <c r="J217" s="57"/>
      <c r="K217" s="58"/>
      <c r="L217" s="59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112000)</f>
        <v>112000</v>
      </c>
      <c r="M217" s="58"/>
      <c r="N217" s="59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183"/>
      <c r="P217" s="58"/>
    </row>
    <row r="218" spans="1:16" ht="19.5" x14ac:dyDescent="0.3">
      <c r="A218" s="167"/>
      <c r="B218" s="168"/>
      <c r="C218" s="298" t="s">
        <v>16</v>
      </c>
      <c r="D218" s="169" t="s">
        <v>36</v>
      </c>
      <c r="E218" s="170"/>
      <c r="F218" s="170"/>
      <c r="G218" s="171"/>
      <c r="H218" s="172"/>
      <c r="I218" s="164"/>
      <c r="J218" s="57"/>
      <c r="K218" s="58"/>
      <c r="L218" s="58"/>
      <c r="M218" s="58"/>
      <c r="N218" s="58"/>
      <c r="O218" s="165"/>
      <c r="P218" s="165"/>
    </row>
    <row r="219" spans="1:16" ht="18.75" x14ac:dyDescent="0.25">
      <c r="A219" s="167"/>
      <c r="B219" s="168"/>
      <c r="C219" s="168"/>
      <c r="D219" s="173" t="s">
        <v>90</v>
      </c>
      <c r="E219" s="174"/>
      <c r="F219" s="174"/>
      <c r="G219" s="172"/>
      <c r="H219" s="296" t="s">
        <v>79</v>
      </c>
      <c r="I219" s="196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14)</f>
        <v>14</v>
      </c>
      <c r="J219" s="182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0)</f>
        <v>0</v>
      </c>
      <c r="K219" s="59">
        <f t="shared" ref="K219:K221" ca="1" si="103">IF(I219&gt;0,J219*100/I219,0)</f>
        <v>0</v>
      </c>
      <c r="L219" s="58"/>
      <c r="M219" s="58"/>
      <c r="N219" s="58"/>
      <c r="O219" s="58"/>
      <c r="P219" s="58"/>
    </row>
    <row r="220" spans="1:16" ht="18.75" x14ac:dyDescent="0.25">
      <c r="A220" s="167"/>
      <c r="B220" s="168"/>
      <c r="C220" s="168"/>
      <c r="D220" s="173" t="s">
        <v>91</v>
      </c>
      <c r="E220" s="174"/>
      <c r="F220" s="174"/>
      <c r="G220" s="172"/>
      <c r="H220" s="296" t="s">
        <v>79</v>
      </c>
      <c r="I220" s="196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14)</f>
        <v>14</v>
      </c>
      <c r="J220" s="182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1)</f>
        <v>1</v>
      </c>
      <c r="K220" s="59">
        <f t="shared" ca="1" si="103"/>
        <v>7.1428571428571432</v>
      </c>
      <c r="L220" s="58"/>
      <c r="M220" s="58"/>
      <c r="N220" s="58"/>
      <c r="O220" s="58"/>
      <c r="P220" s="58"/>
    </row>
    <row r="221" spans="1:16" ht="19.5" x14ac:dyDescent="0.3">
      <c r="A221" s="281"/>
      <c r="B221" s="282"/>
      <c r="C221" s="283" t="s">
        <v>92</v>
      </c>
      <c r="D221" s="284"/>
      <c r="E221" s="284"/>
      <c r="F221" s="284"/>
      <c r="G221" s="285"/>
      <c r="H221" s="286" t="s">
        <v>93</v>
      </c>
      <c r="I221" s="287">
        <f t="shared" ref="I221:J221" ca="1" si="104">I229</f>
        <v>482200</v>
      </c>
      <c r="J221" s="287">
        <f t="shared" ca="1" si="104"/>
        <v>0</v>
      </c>
      <c r="K221" s="288">
        <f t="shared" ca="1" si="103"/>
        <v>0</v>
      </c>
      <c r="L221" s="289"/>
      <c r="M221" s="289"/>
      <c r="N221" s="289"/>
      <c r="O221" s="289"/>
      <c r="P221" s="289"/>
    </row>
    <row r="222" spans="1:16" ht="19.5" x14ac:dyDescent="0.3">
      <c r="A222" s="157"/>
      <c r="B222" s="53"/>
      <c r="C222" s="158" t="s">
        <v>16</v>
      </c>
      <c r="D222" s="290" t="s">
        <v>17</v>
      </c>
      <c r="E222" s="53"/>
      <c r="F222" s="53"/>
      <c r="G222" s="55"/>
      <c r="H222" s="291" t="s">
        <v>12</v>
      </c>
      <c r="I222" s="164"/>
      <c r="J222" s="164"/>
      <c r="K222" s="165"/>
      <c r="L222" s="161">
        <f ca="1">L223+L224+L225</f>
        <v>112500</v>
      </c>
      <c r="M222" s="58"/>
      <c r="N222" s="161">
        <f ca="1">N223+N224+N225</f>
        <v>0</v>
      </c>
      <c r="O222" s="161">
        <f ca="1">IF(L222&gt;0,N222*100/L222,0)</f>
        <v>0</v>
      </c>
      <c r="P222" s="161"/>
    </row>
    <row r="223" spans="1:16" ht="18.75" x14ac:dyDescent="0.25">
      <c r="A223" s="157"/>
      <c r="B223" s="280"/>
      <c r="C223" s="53"/>
      <c r="D223" s="60" t="s">
        <v>80</v>
      </c>
      <c r="E223" s="53"/>
      <c r="F223" s="53"/>
      <c r="G223" s="55"/>
      <c r="H223" s="163" t="s">
        <v>12</v>
      </c>
      <c r="I223" s="164"/>
      <c r="J223" s="164"/>
      <c r="K223" s="165"/>
      <c r="L223" s="59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81000)</f>
        <v>81000</v>
      </c>
      <c r="M223" s="58"/>
      <c r="N223" s="59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0)</f>
        <v>0</v>
      </c>
      <c r="O223" s="183"/>
      <c r="P223" s="58"/>
    </row>
    <row r="224" spans="1:16" ht="18.75" x14ac:dyDescent="0.25">
      <c r="A224" s="276"/>
      <c r="B224" s="280"/>
      <c r="C224" s="280"/>
      <c r="D224" s="60" t="s">
        <v>94</v>
      </c>
      <c r="E224" s="53"/>
      <c r="F224" s="53"/>
      <c r="G224" s="55"/>
      <c r="H224" s="163" t="s">
        <v>12</v>
      </c>
      <c r="I224" s="57"/>
      <c r="J224" s="57"/>
      <c r="K224" s="58"/>
      <c r="L224" s="59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31500)</f>
        <v>31500</v>
      </c>
      <c r="M224" s="58"/>
      <c r="N224" s="59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0)</f>
        <v>0</v>
      </c>
      <c r="O224" s="183"/>
      <c r="P224" s="58"/>
    </row>
    <row r="225" spans="1:16" ht="18.75" hidden="1" x14ac:dyDescent="0.25">
      <c r="A225" s="299"/>
      <c r="B225" s="300"/>
      <c r="C225" s="300"/>
      <c r="D225" s="301"/>
      <c r="E225" s="302"/>
      <c r="F225" s="302"/>
      <c r="G225" s="303"/>
      <c r="H225" s="304"/>
      <c r="I225" s="305"/>
      <c r="J225" s="305"/>
      <c r="K225" s="306"/>
      <c r="L225" s="307"/>
      <c r="M225" s="306"/>
      <c r="N225" s="307"/>
      <c r="O225" s="307"/>
      <c r="P225" s="306"/>
    </row>
    <row r="226" spans="1:16" ht="19.5" x14ac:dyDescent="0.3">
      <c r="A226" s="167"/>
      <c r="B226" s="168"/>
      <c r="C226" s="298" t="s">
        <v>16</v>
      </c>
      <c r="D226" s="169" t="s">
        <v>36</v>
      </c>
      <c r="E226" s="170"/>
      <c r="F226" s="170"/>
      <c r="G226" s="171"/>
      <c r="H226" s="172"/>
      <c r="I226" s="164"/>
      <c r="J226" s="164"/>
      <c r="K226" s="165"/>
      <c r="L226" s="165"/>
      <c r="M226" s="165"/>
      <c r="N226" s="165"/>
      <c r="O226" s="165"/>
      <c r="P226" s="165"/>
    </row>
    <row r="227" spans="1:16" ht="18.75" x14ac:dyDescent="0.25">
      <c r="A227" s="167"/>
      <c r="B227" s="168"/>
      <c r="C227" s="168"/>
      <c r="D227" s="60" t="s">
        <v>95</v>
      </c>
      <c r="E227" s="174"/>
      <c r="F227" s="174"/>
      <c r="G227" s="172"/>
      <c r="H227" s="172"/>
      <c r="I227" s="57"/>
      <c r="J227" s="57"/>
      <c r="K227" s="165"/>
      <c r="L227" s="165"/>
      <c r="M227" s="165"/>
      <c r="N227" s="165"/>
      <c r="O227" s="165"/>
      <c r="P227" s="165"/>
    </row>
    <row r="228" spans="1:16" ht="18.75" x14ac:dyDescent="0.25">
      <c r="A228" s="167"/>
      <c r="B228" s="168"/>
      <c r="C228" s="168"/>
      <c r="D228" s="168"/>
      <c r="E228" s="173" t="s">
        <v>96</v>
      </c>
      <c r="F228" s="174"/>
      <c r="G228" s="172"/>
      <c r="H228" s="180" t="s">
        <v>93</v>
      </c>
      <c r="I228" s="196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182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57800)</f>
        <v>57800</v>
      </c>
      <c r="K228" s="183">
        <f t="shared" ref="K228:K231" ca="1" si="105">IF(I228&gt;0,J228*100/I228,0)</f>
        <v>11.986727498963086</v>
      </c>
      <c r="L228" s="165"/>
      <c r="M228" s="165"/>
      <c r="N228" s="165"/>
      <c r="O228" s="165"/>
      <c r="P228" s="165"/>
    </row>
    <row r="229" spans="1:16" ht="18.75" x14ac:dyDescent="0.25">
      <c r="A229" s="167"/>
      <c r="B229" s="168"/>
      <c r="C229" s="168"/>
      <c r="D229" s="168"/>
      <c r="E229" s="173" t="s">
        <v>97</v>
      </c>
      <c r="F229" s="174"/>
      <c r="G229" s="172"/>
      <c r="H229" s="180" t="s">
        <v>93</v>
      </c>
      <c r="I229" s="196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182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0)</f>
        <v>0</v>
      </c>
      <c r="K229" s="183">
        <f t="shared" ca="1" si="105"/>
        <v>0</v>
      </c>
      <c r="L229" s="58"/>
      <c r="M229" s="58"/>
      <c r="N229" s="58"/>
      <c r="O229" s="58"/>
      <c r="P229" s="58"/>
    </row>
    <row r="230" spans="1:16" ht="18.75" x14ac:dyDescent="0.25">
      <c r="A230" s="167"/>
      <c r="B230" s="168"/>
      <c r="C230" s="168"/>
      <c r="D230" s="60" t="s">
        <v>98</v>
      </c>
      <c r="E230" s="174"/>
      <c r="F230" s="174"/>
      <c r="G230" s="172"/>
      <c r="H230" s="180" t="s">
        <v>33</v>
      </c>
      <c r="I230" s="196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196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183">
        <f t="shared" ca="1" si="105"/>
        <v>0</v>
      </c>
      <c r="L230" s="58"/>
      <c r="M230" s="58"/>
      <c r="N230" s="58"/>
      <c r="O230" s="58"/>
      <c r="P230" s="58"/>
    </row>
    <row r="231" spans="1:16" ht="19.5" x14ac:dyDescent="0.3">
      <c r="A231" s="281"/>
      <c r="B231" s="282"/>
      <c r="C231" s="283" t="s">
        <v>99</v>
      </c>
      <c r="D231" s="284"/>
      <c r="E231" s="284"/>
      <c r="F231" s="284"/>
      <c r="G231" s="285"/>
      <c r="H231" s="286" t="s">
        <v>33</v>
      </c>
      <c r="I231" s="287">
        <f t="shared" ref="I231:J231" si="106">I242+I253</f>
        <v>0</v>
      </c>
      <c r="J231" s="287">
        <f t="shared" si="106"/>
        <v>0</v>
      </c>
      <c r="K231" s="288">
        <f t="shared" si="105"/>
        <v>0</v>
      </c>
      <c r="L231" s="289"/>
      <c r="M231" s="289"/>
      <c r="N231" s="289"/>
      <c r="O231" s="289"/>
      <c r="P231" s="289"/>
    </row>
    <row r="232" spans="1:16" ht="19.5" x14ac:dyDescent="0.3">
      <c r="A232" s="157"/>
      <c r="B232" s="53"/>
      <c r="C232" s="158" t="s">
        <v>16</v>
      </c>
      <c r="D232" s="159" t="s">
        <v>17</v>
      </c>
      <c r="E232" s="53"/>
      <c r="F232" s="53"/>
      <c r="G232" s="55"/>
      <c r="H232" s="291" t="s">
        <v>12</v>
      </c>
      <c r="I232" s="164"/>
      <c r="J232" s="164"/>
      <c r="K232" s="165"/>
      <c r="L232" s="161">
        <f ca="1">L233+L234+L235+L236</f>
        <v>983900</v>
      </c>
      <c r="M232" s="58"/>
      <c r="N232" s="161">
        <f ca="1">N233+N234+N235+N236</f>
        <v>169868</v>
      </c>
      <c r="O232" s="161">
        <f ca="1">IF(L232&gt;0,N232*100/L232,0)</f>
        <v>17.264762679134058</v>
      </c>
      <c r="P232" s="58"/>
    </row>
    <row r="233" spans="1:16" ht="18.75" x14ac:dyDescent="0.25">
      <c r="A233" s="157"/>
      <c r="B233" s="280"/>
      <c r="C233" s="53"/>
      <c r="D233" s="60" t="s">
        <v>80</v>
      </c>
      <c r="E233" s="53"/>
      <c r="F233" s="53"/>
      <c r="G233" s="55"/>
      <c r="H233" s="163" t="s">
        <v>12</v>
      </c>
      <c r="I233" s="164"/>
      <c r="J233" s="164"/>
      <c r="K233" s="165"/>
      <c r="L233" s="59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189000)</f>
        <v>189000</v>
      </c>
      <c r="M233" s="58"/>
      <c r="N233" s="59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39018)</f>
        <v>39018</v>
      </c>
      <c r="O233" s="58"/>
      <c r="P233" s="58"/>
    </row>
    <row r="234" spans="1:16" ht="18.75" x14ac:dyDescent="0.25">
      <c r="A234" s="276"/>
      <c r="B234" s="280"/>
      <c r="C234" s="280"/>
      <c r="D234" s="60" t="s">
        <v>82</v>
      </c>
      <c r="E234" s="53"/>
      <c r="F234" s="53"/>
      <c r="G234" s="55"/>
      <c r="H234" s="163" t="s">
        <v>12</v>
      </c>
      <c r="I234" s="57"/>
      <c r="J234" s="57"/>
      <c r="K234" s="58"/>
      <c r="L234" s="59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31000)</f>
        <v>31000</v>
      </c>
      <c r="M234" s="58"/>
      <c r="N234" s="59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26650)</f>
        <v>26650</v>
      </c>
      <c r="O234" s="58"/>
      <c r="P234" s="58"/>
    </row>
    <row r="235" spans="1:16" ht="18.75" x14ac:dyDescent="0.25">
      <c r="A235" s="276"/>
      <c r="B235" s="280"/>
      <c r="C235" s="280"/>
      <c r="D235" s="60" t="s">
        <v>100</v>
      </c>
      <c r="E235" s="53"/>
      <c r="F235" s="53"/>
      <c r="G235" s="55"/>
      <c r="H235" s="163" t="s">
        <v>12</v>
      </c>
      <c r="I235" s="57"/>
      <c r="J235" s="57"/>
      <c r="K235" s="58"/>
      <c r="L235" s="59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397900)</f>
        <v>397900</v>
      </c>
      <c r="M235" s="58"/>
      <c r="N235" s="59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68200)</f>
        <v>68200</v>
      </c>
      <c r="O235" s="58"/>
      <c r="P235" s="58"/>
    </row>
    <row r="236" spans="1:16" ht="18.75" x14ac:dyDescent="0.25">
      <c r="A236" s="276"/>
      <c r="B236" s="280"/>
      <c r="C236" s="280"/>
      <c r="D236" s="60" t="s">
        <v>101</v>
      </c>
      <c r="E236" s="53"/>
      <c r="F236" s="53"/>
      <c r="G236" s="55"/>
      <c r="H236" s="163" t="s">
        <v>12</v>
      </c>
      <c r="I236" s="57"/>
      <c r="J236" s="57"/>
      <c r="K236" s="58"/>
      <c r="L236" s="59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366000)</f>
        <v>366000</v>
      </c>
      <c r="M236" s="58"/>
      <c r="N236" s="59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36000)</f>
        <v>36000</v>
      </c>
      <c r="O236" s="58"/>
      <c r="P236" s="58"/>
    </row>
    <row r="237" spans="1:16" ht="19.5" x14ac:dyDescent="0.3">
      <c r="A237" s="167"/>
      <c r="B237" s="168"/>
      <c r="C237" s="298" t="s">
        <v>16</v>
      </c>
      <c r="D237" s="169" t="s">
        <v>36</v>
      </c>
      <c r="E237" s="170"/>
      <c r="F237" s="170"/>
      <c r="G237" s="171"/>
      <c r="H237" s="172"/>
      <c r="I237" s="164"/>
      <c r="J237" s="57"/>
      <c r="K237" s="58"/>
      <c r="L237" s="58"/>
      <c r="M237" s="58"/>
      <c r="N237" s="58"/>
      <c r="O237" s="165"/>
      <c r="P237" s="165"/>
    </row>
    <row r="238" spans="1:16" ht="18.75" x14ac:dyDescent="0.25">
      <c r="A238" s="167"/>
      <c r="B238" s="168"/>
      <c r="C238" s="168"/>
      <c r="D238" s="195" t="s">
        <v>102</v>
      </c>
      <c r="E238" s="174"/>
      <c r="F238" s="174"/>
      <c r="G238" s="172"/>
      <c r="H238" s="180" t="s">
        <v>33</v>
      </c>
      <c r="I238" s="196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330)</f>
        <v>330</v>
      </c>
      <c r="J238" s="196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60)</f>
        <v>60</v>
      </c>
      <c r="K238" s="59">
        <f ca="1">IF(I238&gt;0,J238*100/I238,0)</f>
        <v>18.181818181818183</v>
      </c>
      <c r="L238" s="58"/>
      <c r="M238" s="58"/>
      <c r="N238" s="58"/>
      <c r="O238" s="58"/>
      <c r="P238" s="58"/>
    </row>
    <row r="239" spans="1:16" ht="18.75" x14ac:dyDescent="0.25">
      <c r="A239" s="167"/>
      <c r="B239" s="168"/>
      <c r="C239" s="168"/>
      <c r="D239" s="308" t="s">
        <v>41</v>
      </c>
      <c r="E239" s="174"/>
      <c r="F239" s="174"/>
      <c r="G239" s="172"/>
      <c r="H239" s="172"/>
      <c r="I239" s="57"/>
      <c r="J239" s="57"/>
      <c r="K239" s="58"/>
      <c r="L239" s="58"/>
      <c r="M239" s="58"/>
      <c r="N239" s="58"/>
      <c r="O239" s="165"/>
      <c r="P239" s="165"/>
    </row>
    <row r="240" spans="1:16" ht="18.75" x14ac:dyDescent="0.25">
      <c r="A240" s="167"/>
      <c r="B240" s="168"/>
      <c r="C240" s="168"/>
      <c r="D240" s="168"/>
      <c r="E240" s="173" t="s">
        <v>103</v>
      </c>
      <c r="F240" s="174"/>
      <c r="G240" s="172"/>
      <c r="H240" s="180" t="s">
        <v>33</v>
      </c>
      <c r="I240" s="182">
        <v>0</v>
      </c>
      <c r="J240" s="196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30)</f>
        <v>30</v>
      </c>
      <c r="K240" s="59">
        <f t="shared" ref="K240:K241" si="107">IF(I240&gt;0,J240*100/I240,0)</f>
        <v>0</v>
      </c>
      <c r="L240" s="58"/>
      <c r="M240" s="58"/>
      <c r="N240" s="58"/>
      <c r="O240" s="58"/>
      <c r="P240" s="58"/>
    </row>
    <row r="241" spans="1:16" ht="18.75" x14ac:dyDescent="0.25">
      <c r="A241" s="167"/>
      <c r="B241" s="168"/>
      <c r="C241" s="168"/>
      <c r="D241" s="168"/>
      <c r="E241" s="173" t="s">
        <v>104</v>
      </c>
      <c r="F241" s="174"/>
      <c r="G241" s="172"/>
      <c r="H241" s="180" t="s">
        <v>54</v>
      </c>
      <c r="I241" s="182">
        <v>0</v>
      </c>
      <c r="J241" s="196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0)</f>
        <v>0</v>
      </c>
      <c r="K241" s="59">
        <f t="shared" si="107"/>
        <v>0</v>
      </c>
      <c r="L241" s="58"/>
      <c r="M241" s="58"/>
      <c r="N241" s="58"/>
      <c r="O241" s="58"/>
      <c r="P241" s="58"/>
    </row>
    <row r="242" spans="1:16" ht="19.5" hidden="1" x14ac:dyDescent="0.3">
      <c r="A242" s="309"/>
      <c r="B242" s="310"/>
      <c r="C242" s="311" t="s">
        <v>105</v>
      </c>
      <c r="D242" s="312"/>
      <c r="E242" s="312"/>
      <c r="F242" s="312"/>
      <c r="G242" s="313"/>
      <c r="H242" s="314" t="s">
        <v>33</v>
      </c>
      <c r="I242" s="315"/>
      <c r="J242" s="315"/>
      <c r="K242" s="316"/>
      <c r="L242" s="306"/>
      <c r="M242" s="306"/>
      <c r="N242" s="306"/>
      <c r="O242" s="306"/>
      <c r="P242" s="306"/>
    </row>
    <row r="243" spans="1:16" ht="19.5" hidden="1" x14ac:dyDescent="0.3">
      <c r="A243" s="317"/>
      <c r="B243" s="312"/>
      <c r="C243" s="318" t="s">
        <v>16</v>
      </c>
      <c r="D243" s="319" t="s">
        <v>17</v>
      </c>
      <c r="E243" s="312"/>
      <c r="F243" s="312"/>
      <c r="G243" s="313"/>
      <c r="H243" s="320" t="s">
        <v>12</v>
      </c>
      <c r="I243" s="321"/>
      <c r="J243" s="321"/>
      <c r="K243" s="322"/>
      <c r="L243" s="323"/>
      <c r="M243" s="306"/>
      <c r="N243" s="323"/>
      <c r="O243" s="323"/>
      <c r="P243" s="323"/>
    </row>
    <row r="244" spans="1:16" ht="18.75" hidden="1" x14ac:dyDescent="0.25">
      <c r="A244" s="317"/>
      <c r="B244" s="310"/>
      <c r="C244" s="312"/>
      <c r="D244" s="324" t="s">
        <v>80</v>
      </c>
      <c r="E244" s="312"/>
      <c r="F244" s="312"/>
      <c r="G244" s="313"/>
      <c r="H244" s="325" t="s">
        <v>12</v>
      </c>
      <c r="I244" s="321"/>
      <c r="J244" s="321"/>
      <c r="K244" s="322"/>
      <c r="L244" s="307"/>
      <c r="M244" s="306"/>
      <c r="N244" s="326"/>
      <c r="O244" s="306"/>
      <c r="P244" s="306"/>
    </row>
    <row r="245" spans="1:16" ht="18.75" hidden="1" x14ac:dyDescent="0.25">
      <c r="A245" s="309"/>
      <c r="B245" s="310"/>
      <c r="C245" s="310"/>
      <c r="D245" s="324" t="s">
        <v>82</v>
      </c>
      <c r="E245" s="312"/>
      <c r="F245" s="312"/>
      <c r="G245" s="313"/>
      <c r="H245" s="325" t="s">
        <v>12</v>
      </c>
      <c r="I245" s="321"/>
      <c r="J245" s="321"/>
      <c r="K245" s="322"/>
      <c r="L245" s="307"/>
      <c r="M245" s="306"/>
      <c r="N245" s="326"/>
      <c r="O245" s="306"/>
      <c r="P245" s="306"/>
    </row>
    <row r="246" spans="1:16" ht="18.75" hidden="1" x14ac:dyDescent="0.25">
      <c r="A246" s="309"/>
      <c r="B246" s="310"/>
      <c r="C246" s="310"/>
      <c r="D246" s="324" t="s">
        <v>100</v>
      </c>
      <c r="E246" s="312"/>
      <c r="F246" s="312"/>
      <c r="G246" s="313"/>
      <c r="H246" s="325" t="s">
        <v>12</v>
      </c>
      <c r="I246" s="321"/>
      <c r="J246" s="321"/>
      <c r="K246" s="322"/>
      <c r="L246" s="307"/>
      <c r="M246" s="306"/>
      <c r="N246" s="326"/>
      <c r="O246" s="306"/>
      <c r="P246" s="306"/>
    </row>
    <row r="247" spans="1:16" ht="18.75" hidden="1" x14ac:dyDescent="0.25">
      <c r="A247" s="309"/>
      <c r="B247" s="310"/>
      <c r="C247" s="310"/>
      <c r="D247" s="324" t="s">
        <v>101</v>
      </c>
      <c r="E247" s="312"/>
      <c r="F247" s="312"/>
      <c r="G247" s="313"/>
      <c r="H247" s="325" t="s">
        <v>12</v>
      </c>
      <c r="I247" s="321"/>
      <c r="J247" s="321"/>
      <c r="K247" s="322"/>
      <c r="L247" s="307"/>
      <c r="M247" s="306"/>
      <c r="N247" s="326"/>
      <c r="O247" s="306"/>
      <c r="P247" s="306"/>
    </row>
    <row r="248" spans="1:16" ht="19.5" hidden="1" x14ac:dyDescent="0.3">
      <c r="A248" s="309"/>
      <c r="B248" s="310"/>
      <c r="C248" s="327" t="s">
        <v>16</v>
      </c>
      <c r="D248" s="328" t="s">
        <v>36</v>
      </c>
      <c r="E248" s="312"/>
      <c r="F248" s="312"/>
      <c r="G248" s="313"/>
      <c r="H248" s="313"/>
      <c r="I248" s="321"/>
      <c r="J248" s="321"/>
      <c r="K248" s="322"/>
      <c r="L248" s="306"/>
      <c r="M248" s="306"/>
      <c r="N248" s="306"/>
      <c r="O248" s="306"/>
      <c r="P248" s="306"/>
    </row>
    <row r="249" spans="1:16" ht="18.75" hidden="1" x14ac:dyDescent="0.25">
      <c r="A249" s="309"/>
      <c r="B249" s="310"/>
      <c r="C249" s="310"/>
      <c r="D249" s="324" t="s">
        <v>102</v>
      </c>
      <c r="E249" s="312"/>
      <c r="F249" s="312"/>
      <c r="G249" s="313"/>
      <c r="H249" s="329" t="s">
        <v>33</v>
      </c>
      <c r="I249" s="330"/>
      <c r="J249" s="331"/>
      <c r="K249" s="332"/>
      <c r="L249" s="306"/>
      <c r="M249" s="306"/>
      <c r="N249" s="306"/>
      <c r="O249" s="306"/>
      <c r="P249" s="306"/>
    </row>
    <row r="250" spans="1:16" ht="18.75" hidden="1" x14ac:dyDescent="0.25">
      <c r="A250" s="309"/>
      <c r="B250" s="310"/>
      <c r="C250" s="310"/>
      <c r="D250" s="333" t="s">
        <v>41</v>
      </c>
      <c r="E250" s="312"/>
      <c r="F250" s="312"/>
      <c r="G250" s="313"/>
      <c r="H250" s="313"/>
      <c r="I250" s="321"/>
      <c r="J250" s="321"/>
      <c r="K250" s="322"/>
      <c r="L250" s="306"/>
      <c r="M250" s="306"/>
      <c r="N250" s="306"/>
      <c r="O250" s="306"/>
      <c r="P250" s="306"/>
    </row>
    <row r="251" spans="1:16" ht="18.75" hidden="1" x14ac:dyDescent="0.25">
      <c r="A251" s="309"/>
      <c r="B251" s="310"/>
      <c r="C251" s="310"/>
      <c r="D251" s="310"/>
      <c r="E251" s="334" t="s">
        <v>103</v>
      </c>
      <c r="F251" s="312"/>
      <c r="G251" s="313"/>
      <c r="H251" s="329" t="s">
        <v>33</v>
      </c>
      <c r="I251" s="331"/>
      <c r="J251" s="331"/>
      <c r="K251" s="332"/>
      <c r="L251" s="306"/>
      <c r="M251" s="306"/>
      <c r="N251" s="306"/>
      <c r="O251" s="306"/>
      <c r="P251" s="306"/>
    </row>
    <row r="252" spans="1:16" ht="18.75" hidden="1" x14ac:dyDescent="0.25">
      <c r="A252" s="309"/>
      <c r="B252" s="310"/>
      <c r="C252" s="310"/>
      <c r="D252" s="310"/>
      <c r="E252" s="334" t="s">
        <v>104</v>
      </c>
      <c r="F252" s="312"/>
      <c r="G252" s="313"/>
      <c r="H252" s="329" t="s">
        <v>54</v>
      </c>
      <c r="I252" s="331"/>
      <c r="J252" s="331"/>
      <c r="K252" s="332"/>
      <c r="L252" s="306"/>
      <c r="M252" s="306"/>
      <c r="N252" s="306"/>
      <c r="O252" s="306"/>
      <c r="P252" s="306"/>
    </row>
    <row r="253" spans="1:16" ht="19.5" hidden="1" x14ac:dyDescent="0.3">
      <c r="A253" s="309"/>
      <c r="B253" s="310"/>
      <c r="C253" s="311" t="s">
        <v>106</v>
      </c>
      <c r="D253" s="312"/>
      <c r="E253" s="312"/>
      <c r="F253" s="312"/>
      <c r="G253" s="313"/>
      <c r="H253" s="314" t="s">
        <v>33</v>
      </c>
      <c r="I253" s="315"/>
      <c r="J253" s="315"/>
      <c r="K253" s="316"/>
      <c r="L253" s="306"/>
      <c r="M253" s="306"/>
      <c r="N253" s="306"/>
      <c r="O253" s="306"/>
      <c r="P253" s="306"/>
    </row>
    <row r="254" spans="1:16" ht="19.5" hidden="1" x14ac:dyDescent="0.3">
      <c r="A254" s="317"/>
      <c r="B254" s="312"/>
      <c r="C254" s="318" t="s">
        <v>16</v>
      </c>
      <c r="D254" s="328" t="s">
        <v>17</v>
      </c>
      <c r="E254" s="312"/>
      <c r="F254" s="312"/>
      <c r="G254" s="313"/>
      <c r="H254" s="320" t="s">
        <v>12</v>
      </c>
      <c r="I254" s="321"/>
      <c r="J254" s="321"/>
      <c r="K254" s="322"/>
      <c r="L254" s="323"/>
      <c r="M254" s="306"/>
      <c r="N254" s="323"/>
      <c r="O254" s="323"/>
      <c r="P254" s="323"/>
    </row>
    <row r="255" spans="1:16" ht="18.75" hidden="1" x14ac:dyDescent="0.25">
      <c r="A255" s="317"/>
      <c r="B255" s="310"/>
      <c r="C255" s="312"/>
      <c r="D255" s="324" t="s">
        <v>80</v>
      </c>
      <c r="E255" s="312"/>
      <c r="F255" s="312"/>
      <c r="G255" s="313"/>
      <c r="H255" s="325" t="s">
        <v>12</v>
      </c>
      <c r="I255" s="321"/>
      <c r="J255" s="321"/>
      <c r="K255" s="322"/>
      <c r="L255" s="307"/>
      <c r="M255" s="306"/>
      <c r="N255" s="307"/>
      <c r="O255" s="306"/>
      <c r="P255" s="306"/>
    </row>
    <row r="256" spans="1:16" ht="18.75" hidden="1" x14ac:dyDescent="0.25">
      <c r="A256" s="309"/>
      <c r="B256" s="310"/>
      <c r="C256" s="310"/>
      <c r="D256" s="324" t="s">
        <v>82</v>
      </c>
      <c r="E256" s="312"/>
      <c r="F256" s="312"/>
      <c r="G256" s="313"/>
      <c r="H256" s="325" t="s">
        <v>12</v>
      </c>
      <c r="I256" s="321"/>
      <c r="J256" s="321"/>
      <c r="K256" s="322"/>
      <c r="L256" s="307"/>
      <c r="M256" s="306"/>
      <c r="N256" s="307"/>
      <c r="O256" s="306"/>
      <c r="P256" s="306"/>
    </row>
    <row r="257" spans="1:16" ht="18.75" hidden="1" x14ac:dyDescent="0.25">
      <c r="A257" s="309"/>
      <c r="B257" s="310"/>
      <c r="C257" s="310"/>
      <c r="D257" s="324" t="s">
        <v>100</v>
      </c>
      <c r="E257" s="312"/>
      <c r="F257" s="312"/>
      <c r="G257" s="313"/>
      <c r="H257" s="325" t="s">
        <v>12</v>
      </c>
      <c r="I257" s="321"/>
      <c r="J257" s="321"/>
      <c r="K257" s="322"/>
      <c r="L257" s="307"/>
      <c r="M257" s="306"/>
      <c r="N257" s="307"/>
      <c r="O257" s="306"/>
      <c r="P257" s="306"/>
    </row>
    <row r="258" spans="1:16" ht="18.75" hidden="1" x14ac:dyDescent="0.25">
      <c r="A258" s="309"/>
      <c r="B258" s="310"/>
      <c r="C258" s="310"/>
      <c r="D258" s="324" t="s">
        <v>101</v>
      </c>
      <c r="E258" s="312"/>
      <c r="F258" s="312"/>
      <c r="G258" s="313"/>
      <c r="H258" s="325" t="s">
        <v>12</v>
      </c>
      <c r="I258" s="321"/>
      <c r="J258" s="321"/>
      <c r="K258" s="322"/>
      <c r="L258" s="307"/>
      <c r="M258" s="306"/>
      <c r="N258" s="307"/>
      <c r="O258" s="306"/>
      <c r="P258" s="306"/>
    </row>
    <row r="259" spans="1:16" ht="19.5" hidden="1" x14ac:dyDescent="0.3">
      <c r="A259" s="309"/>
      <c r="B259" s="310"/>
      <c r="C259" s="327" t="s">
        <v>16</v>
      </c>
      <c r="D259" s="328" t="s">
        <v>36</v>
      </c>
      <c r="E259" s="312"/>
      <c r="F259" s="312"/>
      <c r="G259" s="313"/>
      <c r="H259" s="313"/>
      <c r="I259" s="321"/>
      <c r="J259" s="321"/>
      <c r="K259" s="322"/>
      <c r="L259" s="306"/>
      <c r="M259" s="306"/>
      <c r="N259" s="306"/>
      <c r="O259" s="306"/>
      <c r="P259" s="306"/>
    </row>
    <row r="260" spans="1:16" ht="18.75" hidden="1" x14ac:dyDescent="0.25">
      <c r="A260" s="309"/>
      <c r="B260" s="310"/>
      <c r="C260" s="310"/>
      <c r="D260" s="324" t="s">
        <v>102</v>
      </c>
      <c r="E260" s="312"/>
      <c r="F260" s="312"/>
      <c r="G260" s="313"/>
      <c r="H260" s="329" t="s">
        <v>33</v>
      </c>
      <c r="I260" s="330"/>
      <c r="J260" s="330"/>
      <c r="K260" s="332"/>
      <c r="L260" s="306"/>
      <c r="M260" s="306"/>
      <c r="N260" s="306"/>
      <c r="O260" s="306"/>
      <c r="P260" s="306"/>
    </row>
    <row r="261" spans="1:16" ht="18.75" hidden="1" x14ac:dyDescent="0.25">
      <c r="A261" s="309"/>
      <c r="B261" s="310"/>
      <c r="C261" s="310"/>
      <c r="D261" s="333" t="s">
        <v>41</v>
      </c>
      <c r="E261" s="312"/>
      <c r="F261" s="312"/>
      <c r="G261" s="313"/>
      <c r="H261" s="313"/>
      <c r="I261" s="321"/>
      <c r="J261" s="321"/>
      <c r="K261" s="322"/>
      <c r="L261" s="306"/>
      <c r="M261" s="306"/>
      <c r="N261" s="306"/>
      <c r="O261" s="306"/>
      <c r="P261" s="306"/>
    </row>
    <row r="262" spans="1:16" ht="18.75" hidden="1" x14ac:dyDescent="0.25">
      <c r="A262" s="309"/>
      <c r="B262" s="310"/>
      <c r="C262" s="310"/>
      <c r="D262" s="310"/>
      <c r="E262" s="334" t="s">
        <v>103</v>
      </c>
      <c r="F262" s="312"/>
      <c r="G262" s="313"/>
      <c r="H262" s="329" t="s">
        <v>33</v>
      </c>
      <c r="I262" s="321"/>
      <c r="J262" s="330"/>
      <c r="K262" s="332"/>
      <c r="L262" s="306"/>
      <c r="M262" s="306"/>
      <c r="N262" s="306"/>
      <c r="O262" s="306"/>
      <c r="P262" s="306"/>
    </row>
    <row r="263" spans="1:16" ht="18.75" hidden="1" x14ac:dyDescent="0.25">
      <c r="A263" s="309"/>
      <c r="B263" s="310"/>
      <c r="C263" s="310"/>
      <c r="D263" s="310"/>
      <c r="E263" s="334" t="s">
        <v>104</v>
      </c>
      <c r="F263" s="312"/>
      <c r="G263" s="313"/>
      <c r="H263" s="329" t="s">
        <v>54</v>
      </c>
      <c r="I263" s="321"/>
      <c r="J263" s="330"/>
      <c r="K263" s="332"/>
      <c r="L263" s="306"/>
      <c r="M263" s="306"/>
      <c r="N263" s="306"/>
      <c r="O263" s="306"/>
      <c r="P263" s="306"/>
    </row>
    <row r="264" spans="1:16" ht="19.5" x14ac:dyDescent="0.3">
      <c r="A264" s="263" t="s">
        <v>107</v>
      </c>
      <c r="B264" s="264"/>
      <c r="C264" s="264"/>
      <c r="D264" s="265"/>
      <c r="E264" s="265"/>
      <c r="F264" s="265"/>
      <c r="G264" s="266"/>
      <c r="H264" s="266"/>
      <c r="I264" s="267"/>
      <c r="J264" s="267"/>
      <c r="K264" s="268"/>
      <c r="L264" s="268"/>
      <c r="M264" s="268"/>
      <c r="N264" s="268"/>
      <c r="O264" s="268"/>
      <c r="P264" s="268"/>
    </row>
    <row r="265" spans="1:16" ht="19.5" x14ac:dyDescent="0.3">
      <c r="A265" s="269"/>
      <c r="B265" s="270" t="s">
        <v>108</v>
      </c>
      <c r="C265" s="271"/>
      <c r="D265" s="170"/>
      <c r="E265" s="170"/>
      <c r="F265" s="170"/>
      <c r="G265" s="171"/>
      <c r="H265" s="272" t="s">
        <v>33</v>
      </c>
      <c r="I265" s="335">
        <v>0</v>
      </c>
      <c r="J265" s="335">
        <v>0</v>
      </c>
      <c r="K265" s="274">
        <f>IF(I265&gt;0,J265*100/I265,0)</f>
        <v>0</v>
      </c>
      <c r="L265" s="275"/>
      <c r="M265" s="275"/>
      <c r="N265" s="275"/>
      <c r="O265" s="275"/>
      <c r="P265" s="275"/>
    </row>
    <row r="266" spans="1:16" ht="19.5" x14ac:dyDescent="0.3">
      <c r="A266" s="157"/>
      <c r="B266" s="53"/>
      <c r="C266" s="158" t="s">
        <v>16</v>
      </c>
      <c r="D266" s="159" t="s">
        <v>17</v>
      </c>
      <c r="E266" s="53"/>
      <c r="F266" s="53"/>
      <c r="G266" s="55"/>
      <c r="H266" s="160" t="s">
        <v>12</v>
      </c>
      <c r="I266" s="57"/>
      <c r="J266" s="57"/>
      <c r="K266" s="58"/>
      <c r="L266" s="161">
        <f t="shared" ref="L266:N266" ca="1" si="108">L267+L268</f>
        <v>0</v>
      </c>
      <c r="M266" s="161">
        <f t="shared" ca="1" si="108"/>
        <v>0</v>
      </c>
      <c r="N266" s="161">
        <f t="shared" ca="1" si="108"/>
        <v>0</v>
      </c>
      <c r="O266" s="161">
        <f t="shared" ref="O266:O274" ca="1" si="109">IF(L266&gt;0,N266*100/L266,0)</f>
        <v>0</v>
      </c>
      <c r="P266" s="161">
        <f t="shared" ref="P266:P274" ca="1" si="110">IF(M266&gt;0,N266*100/M266,0)</f>
        <v>0</v>
      </c>
    </row>
    <row r="267" spans="1:16" ht="18.75" x14ac:dyDescent="0.25">
      <c r="A267" s="157"/>
      <c r="B267" s="53"/>
      <c r="C267" s="53"/>
      <c r="D267" s="53"/>
      <c r="E267" s="60" t="s">
        <v>18</v>
      </c>
      <c r="F267" s="53"/>
      <c r="G267" s="55"/>
      <c r="H267" s="162" t="s">
        <v>12</v>
      </c>
      <c r="I267" s="57"/>
      <c r="J267" s="57"/>
      <c r="K267" s="58"/>
      <c r="L267" s="59">
        <f t="shared" ref="L267:N267" ca="1" si="111">L270+L273</f>
        <v>0</v>
      </c>
      <c r="M267" s="59">
        <f t="shared" ca="1" si="111"/>
        <v>0</v>
      </c>
      <c r="N267" s="59">
        <f t="shared" ca="1" si="111"/>
        <v>0</v>
      </c>
      <c r="O267" s="59">
        <f t="shared" ca="1" si="109"/>
        <v>0</v>
      </c>
      <c r="P267" s="59">
        <f t="shared" ca="1" si="110"/>
        <v>0</v>
      </c>
    </row>
    <row r="268" spans="1:16" ht="18.75" x14ac:dyDescent="0.25">
      <c r="A268" s="157"/>
      <c r="B268" s="53"/>
      <c r="C268" s="53"/>
      <c r="D268" s="53"/>
      <c r="E268" s="60" t="s">
        <v>19</v>
      </c>
      <c r="F268" s="53"/>
      <c r="G268" s="55"/>
      <c r="H268" s="162" t="s">
        <v>12</v>
      </c>
      <c r="I268" s="57"/>
      <c r="J268" s="57"/>
      <c r="K268" s="58"/>
      <c r="L268" s="59">
        <f t="shared" ref="L268:N268" ca="1" si="112">L271+L274</f>
        <v>0</v>
      </c>
      <c r="M268" s="59">
        <f t="shared" ca="1" si="112"/>
        <v>0</v>
      </c>
      <c r="N268" s="59">
        <f t="shared" ca="1" si="112"/>
        <v>0</v>
      </c>
      <c r="O268" s="59">
        <f t="shared" ca="1" si="109"/>
        <v>0</v>
      </c>
      <c r="P268" s="59">
        <f t="shared" ca="1" si="110"/>
        <v>0</v>
      </c>
    </row>
    <row r="269" spans="1:16" ht="18.75" x14ac:dyDescent="0.25">
      <c r="A269" s="157"/>
      <c r="B269" s="53"/>
      <c r="C269" s="53"/>
      <c r="D269" s="54" t="s">
        <v>20</v>
      </c>
      <c r="E269" s="53"/>
      <c r="F269" s="53"/>
      <c r="G269" s="55"/>
      <c r="H269" s="163" t="s">
        <v>12</v>
      </c>
      <c r="I269" s="164"/>
      <c r="J269" s="164"/>
      <c r="K269" s="165"/>
      <c r="L269" s="59">
        <f t="shared" ref="L269:N269" ca="1" si="113">L270+L271</f>
        <v>0</v>
      </c>
      <c r="M269" s="59">
        <f t="shared" ca="1" si="113"/>
        <v>0</v>
      </c>
      <c r="N269" s="59">
        <f t="shared" ca="1" si="113"/>
        <v>0</v>
      </c>
      <c r="O269" s="59">
        <f t="shared" ca="1" si="109"/>
        <v>0</v>
      </c>
      <c r="P269" s="59">
        <f t="shared" ca="1" si="110"/>
        <v>0</v>
      </c>
    </row>
    <row r="270" spans="1:16" ht="18.75" x14ac:dyDescent="0.25">
      <c r="A270" s="157"/>
      <c r="B270" s="53"/>
      <c r="C270" s="53"/>
      <c r="D270" s="53"/>
      <c r="E270" s="60" t="s">
        <v>34</v>
      </c>
      <c r="F270" s="53"/>
      <c r="G270" s="55"/>
      <c r="H270" s="163" t="s">
        <v>12</v>
      </c>
      <c r="I270" s="164"/>
      <c r="J270" s="164"/>
      <c r="K270" s="165"/>
      <c r="L270" s="59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59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59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59">
        <f t="shared" ca="1" si="109"/>
        <v>0</v>
      </c>
      <c r="P270" s="59">
        <f t="shared" ca="1" si="110"/>
        <v>0</v>
      </c>
    </row>
    <row r="271" spans="1:16" ht="18.75" x14ac:dyDescent="0.25">
      <c r="A271" s="157"/>
      <c r="B271" s="53"/>
      <c r="C271" s="53"/>
      <c r="D271" s="53"/>
      <c r="E271" s="60" t="s">
        <v>35</v>
      </c>
      <c r="F271" s="53"/>
      <c r="G271" s="55"/>
      <c r="H271" s="163" t="s">
        <v>12</v>
      </c>
      <c r="I271" s="164"/>
      <c r="J271" s="164"/>
      <c r="K271" s="165"/>
      <c r="L271" s="59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0)</f>
        <v>0</v>
      </c>
      <c r="M271" s="59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0)</f>
        <v>0</v>
      </c>
      <c r="N271" s="59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0)</f>
        <v>0</v>
      </c>
      <c r="O271" s="59">
        <f t="shared" ca="1" si="109"/>
        <v>0</v>
      </c>
      <c r="P271" s="59">
        <f t="shared" ca="1" si="110"/>
        <v>0</v>
      </c>
    </row>
    <row r="272" spans="1:16" ht="18.75" x14ac:dyDescent="0.25">
      <c r="A272" s="157"/>
      <c r="B272" s="53"/>
      <c r="C272" s="53"/>
      <c r="D272" s="54" t="s">
        <v>21</v>
      </c>
      <c r="E272" s="53"/>
      <c r="F272" s="53"/>
      <c r="G272" s="55"/>
      <c r="H272" s="166" t="s">
        <v>12</v>
      </c>
      <c r="I272" s="164"/>
      <c r="J272" s="164"/>
      <c r="K272" s="165"/>
      <c r="L272" s="59">
        <f t="shared" ref="L272:N272" ca="1" si="114">L273+L274</f>
        <v>0</v>
      </c>
      <c r="M272" s="59">
        <f t="shared" ca="1" si="114"/>
        <v>0</v>
      </c>
      <c r="N272" s="59">
        <f t="shared" ca="1" si="114"/>
        <v>0</v>
      </c>
      <c r="O272" s="59">
        <f t="shared" ca="1" si="109"/>
        <v>0</v>
      </c>
      <c r="P272" s="59">
        <f t="shared" ca="1" si="110"/>
        <v>0</v>
      </c>
    </row>
    <row r="273" spans="1:16" ht="18.75" x14ac:dyDescent="0.25">
      <c r="A273" s="157"/>
      <c r="B273" s="53"/>
      <c r="C273" s="53"/>
      <c r="D273" s="53"/>
      <c r="E273" s="60" t="s">
        <v>18</v>
      </c>
      <c r="F273" s="53"/>
      <c r="G273" s="55"/>
      <c r="H273" s="163" t="s">
        <v>12</v>
      </c>
      <c r="I273" s="164"/>
      <c r="J273" s="164"/>
      <c r="K273" s="165"/>
      <c r="L273" s="59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59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59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59">
        <f t="shared" ca="1" si="109"/>
        <v>0</v>
      </c>
      <c r="P273" s="59">
        <f t="shared" ca="1" si="110"/>
        <v>0</v>
      </c>
    </row>
    <row r="274" spans="1:16" ht="18.75" x14ac:dyDescent="0.25">
      <c r="A274" s="157"/>
      <c r="B274" s="53"/>
      <c r="C274" s="53"/>
      <c r="D274" s="53"/>
      <c r="E274" s="60" t="s">
        <v>19</v>
      </c>
      <c r="F274" s="53"/>
      <c r="G274" s="55"/>
      <c r="H274" s="166" t="s">
        <v>12</v>
      </c>
      <c r="I274" s="164"/>
      <c r="J274" s="164"/>
      <c r="K274" s="165"/>
      <c r="L274" s="59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59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59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59">
        <f t="shared" ca="1" si="109"/>
        <v>0</v>
      </c>
      <c r="P274" s="59">
        <f t="shared" ca="1" si="110"/>
        <v>0</v>
      </c>
    </row>
    <row r="275" spans="1:16" ht="19.5" x14ac:dyDescent="0.3">
      <c r="A275" s="167"/>
      <c r="B275" s="168"/>
      <c r="C275" s="336" t="s">
        <v>16</v>
      </c>
      <c r="D275" s="169" t="s">
        <v>36</v>
      </c>
      <c r="E275" s="170"/>
      <c r="F275" s="170"/>
      <c r="G275" s="171"/>
      <c r="H275" s="172"/>
      <c r="I275" s="164"/>
      <c r="J275" s="164"/>
      <c r="K275" s="165"/>
      <c r="L275" s="165"/>
      <c r="M275" s="165"/>
      <c r="N275" s="165"/>
      <c r="O275" s="165"/>
      <c r="P275" s="165"/>
    </row>
    <row r="276" spans="1:16" ht="18.75" hidden="1" x14ac:dyDescent="0.25">
      <c r="A276" s="337"/>
      <c r="B276" s="213"/>
      <c r="C276" s="213"/>
      <c r="D276" s="338"/>
      <c r="E276" s="17"/>
      <c r="F276" s="17"/>
      <c r="G276" s="20"/>
      <c r="H276" s="26"/>
      <c r="I276" s="214"/>
      <c r="J276" s="339"/>
      <c r="K276" s="27"/>
      <c r="L276" s="23"/>
      <c r="M276" s="23"/>
      <c r="N276" s="23"/>
      <c r="O276" s="23"/>
      <c r="P276" s="23"/>
    </row>
    <row r="277" spans="1:16" ht="18.75" x14ac:dyDescent="0.25">
      <c r="A277" s="340"/>
      <c r="B277" s="341"/>
      <c r="C277" s="341"/>
      <c r="D277" s="342" t="s">
        <v>109</v>
      </c>
      <c r="E277" s="343"/>
      <c r="F277" s="343"/>
      <c r="G277" s="344"/>
      <c r="H277" s="136" t="s">
        <v>33</v>
      </c>
      <c r="I277" s="345">
        <v>0</v>
      </c>
      <c r="J277" s="345">
        <v>0</v>
      </c>
      <c r="K277" s="346">
        <v>0</v>
      </c>
      <c r="L277" s="347"/>
      <c r="M277" s="347"/>
      <c r="N277" s="347"/>
      <c r="O277" s="347"/>
      <c r="P277" s="347"/>
    </row>
    <row r="278" spans="1:16" ht="19.5" x14ac:dyDescent="0.3">
      <c r="A278" s="348" t="s">
        <v>110</v>
      </c>
      <c r="B278" s="349"/>
      <c r="C278" s="349"/>
      <c r="D278" s="349"/>
      <c r="E278" s="350"/>
      <c r="F278" s="350"/>
      <c r="G278" s="350"/>
      <c r="H278" s="350"/>
      <c r="I278" s="351"/>
      <c r="J278" s="351"/>
      <c r="K278" s="352"/>
      <c r="L278" s="353"/>
      <c r="M278" s="353"/>
      <c r="N278" s="353"/>
      <c r="O278" s="353"/>
      <c r="P278" s="354"/>
    </row>
    <row r="279" spans="1:16" ht="19.5" x14ac:dyDescent="0.3">
      <c r="A279" s="355" t="s">
        <v>111</v>
      </c>
      <c r="B279" s="356"/>
      <c r="C279" s="357"/>
      <c r="D279" s="356"/>
      <c r="E279" s="356"/>
      <c r="F279" s="356"/>
      <c r="G279" s="356"/>
      <c r="H279" s="356"/>
      <c r="I279" s="358"/>
      <c r="J279" s="359"/>
      <c r="K279" s="360"/>
      <c r="L279" s="360"/>
      <c r="M279" s="360"/>
      <c r="N279" s="360"/>
      <c r="O279" s="360"/>
      <c r="P279" s="360"/>
    </row>
    <row r="280" spans="1:16" ht="19.5" x14ac:dyDescent="0.3">
      <c r="A280" s="361"/>
      <c r="B280" s="362" t="s">
        <v>112</v>
      </c>
      <c r="C280" s="363"/>
      <c r="D280" s="364"/>
      <c r="E280" s="363"/>
      <c r="F280" s="363"/>
      <c r="G280" s="365"/>
      <c r="H280" s="366" t="s">
        <v>33</v>
      </c>
      <c r="I280" s="367">
        <f t="shared" ref="I280:J280" ca="1" si="115">I293</f>
        <v>10</v>
      </c>
      <c r="J280" s="367">
        <f t="shared" ca="1" si="115"/>
        <v>0</v>
      </c>
      <c r="K280" s="368">
        <f t="shared" ref="K280:K281" ca="1" si="116">IF(I280&gt;0,J280*100/I280,0)</f>
        <v>0</v>
      </c>
      <c r="L280" s="369"/>
      <c r="M280" s="369"/>
      <c r="N280" s="369"/>
      <c r="O280" s="369"/>
      <c r="P280" s="369"/>
    </row>
    <row r="281" spans="1:16" ht="19.5" x14ac:dyDescent="0.3">
      <c r="A281" s="361"/>
      <c r="B281" s="363"/>
      <c r="C281" s="363"/>
      <c r="D281" s="364"/>
      <c r="E281" s="363"/>
      <c r="F281" s="363"/>
      <c r="G281" s="365"/>
      <c r="H281" s="366" t="s">
        <v>44</v>
      </c>
      <c r="I281" s="367">
        <f t="shared" ref="I281:J281" ca="1" si="117">I292</f>
        <v>100</v>
      </c>
      <c r="J281" s="367">
        <f t="shared" ca="1" si="117"/>
        <v>0</v>
      </c>
      <c r="K281" s="368">
        <f t="shared" ca="1" si="116"/>
        <v>0</v>
      </c>
      <c r="L281" s="369"/>
      <c r="M281" s="369"/>
      <c r="N281" s="369"/>
      <c r="O281" s="369"/>
      <c r="P281" s="369"/>
    </row>
    <row r="282" spans="1:16" ht="19.5" x14ac:dyDescent="0.3">
      <c r="A282" s="157"/>
      <c r="B282" s="53"/>
      <c r="C282" s="158" t="s">
        <v>16</v>
      </c>
      <c r="D282" s="159" t="s">
        <v>17</v>
      </c>
      <c r="E282" s="53"/>
      <c r="F282" s="53"/>
      <c r="G282" s="55"/>
      <c r="H282" s="160" t="s">
        <v>12</v>
      </c>
      <c r="I282" s="57"/>
      <c r="J282" s="57"/>
      <c r="K282" s="58"/>
      <c r="L282" s="161">
        <f t="shared" ref="L282:N282" ca="1" si="118">L283+L284</f>
        <v>137720</v>
      </c>
      <c r="M282" s="161">
        <f t="shared" ca="1" si="118"/>
        <v>102980</v>
      </c>
      <c r="N282" s="161">
        <f t="shared" ca="1" si="118"/>
        <v>38350</v>
      </c>
      <c r="O282" s="161">
        <f t="shared" ref="O282:O290" ca="1" si="119">IF(L282&gt;0,N282*100/L282,0)</f>
        <v>27.846354923032241</v>
      </c>
      <c r="P282" s="161">
        <f t="shared" ref="P282:P290" ca="1" si="120">IF(M282&gt;0,N282*100/M282,0)</f>
        <v>37.240240823460866</v>
      </c>
    </row>
    <row r="283" spans="1:16" ht="18.75" x14ac:dyDescent="0.25">
      <c r="A283" s="157"/>
      <c r="B283" s="53"/>
      <c r="C283" s="53"/>
      <c r="D283" s="53"/>
      <c r="E283" s="60" t="s">
        <v>18</v>
      </c>
      <c r="F283" s="53"/>
      <c r="G283" s="55"/>
      <c r="H283" s="162" t="s">
        <v>12</v>
      </c>
      <c r="I283" s="57"/>
      <c r="J283" s="57"/>
      <c r="K283" s="58"/>
      <c r="L283" s="59">
        <f t="shared" ref="L283:N283" ca="1" si="121">L286+L289</f>
        <v>0</v>
      </c>
      <c r="M283" s="59">
        <f t="shared" ca="1" si="121"/>
        <v>0</v>
      </c>
      <c r="N283" s="59">
        <f t="shared" ca="1" si="121"/>
        <v>0</v>
      </c>
      <c r="O283" s="59">
        <f t="shared" ca="1" si="119"/>
        <v>0</v>
      </c>
      <c r="P283" s="59">
        <f t="shared" ca="1" si="120"/>
        <v>0</v>
      </c>
    </row>
    <row r="284" spans="1:16" ht="18.75" x14ac:dyDescent="0.25">
      <c r="A284" s="157"/>
      <c r="B284" s="53"/>
      <c r="C284" s="53"/>
      <c r="D284" s="53"/>
      <c r="E284" s="60" t="s">
        <v>19</v>
      </c>
      <c r="F284" s="53"/>
      <c r="G284" s="55"/>
      <c r="H284" s="162" t="s">
        <v>12</v>
      </c>
      <c r="I284" s="57"/>
      <c r="J284" s="57"/>
      <c r="K284" s="58"/>
      <c r="L284" s="59">
        <f t="shared" ref="L284:N284" ca="1" si="122">L287+L290</f>
        <v>137720</v>
      </c>
      <c r="M284" s="59">
        <f t="shared" ca="1" si="122"/>
        <v>102980</v>
      </c>
      <c r="N284" s="59">
        <f t="shared" ca="1" si="122"/>
        <v>38350</v>
      </c>
      <c r="O284" s="59">
        <f t="shared" ca="1" si="119"/>
        <v>27.846354923032241</v>
      </c>
      <c r="P284" s="59">
        <f t="shared" ca="1" si="120"/>
        <v>37.240240823460866</v>
      </c>
    </row>
    <row r="285" spans="1:16" ht="18.75" x14ac:dyDescent="0.25">
      <c r="A285" s="157"/>
      <c r="B285" s="53"/>
      <c r="C285" s="53"/>
      <c r="D285" s="54" t="s">
        <v>20</v>
      </c>
      <c r="E285" s="53"/>
      <c r="F285" s="53"/>
      <c r="G285" s="55"/>
      <c r="H285" s="163" t="s">
        <v>12</v>
      </c>
      <c r="I285" s="164"/>
      <c r="J285" s="164"/>
      <c r="K285" s="165"/>
      <c r="L285" s="59">
        <f t="shared" ref="L285:N285" ca="1" si="123">L286+L287</f>
        <v>137720</v>
      </c>
      <c r="M285" s="59">
        <f t="shared" ca="1" si="123"/>
        <v>102980</v>
      </c>
      <c r="N285" s="59">
        <f t="shared" ca="1" si="123"/>
        <v>38350</v>
      </c>
      <c r="O285" s="59">
        <f t="shared" ca="1" si="119"/>
        <v>27.846354923032241</v>
      </c>
      <c r="P285" s="59">
        <f t="shared" ca="1" si="120"/>
        <v>37.240240823460866</v>
      </c>
    </row>
    <row r="286" spans="1:16" ht="18.75" x14ac:dyDescent="0.25">
      <c r="A286" s="157"/>
      <c r="B286" s="53"/>
      <c r="C286" s="53"/>
      <c r="D286" s="53"/>
      <c r="E286" s="60" t="s">
        <v>34</v>
      </c>
      <c r="F286" s="53"/>
      <c r="G286" s="55"/>
      <c r="H286" s="163" t="s">
        <v>12</v>
      </c>
      <c r="I286" s="164"/>
      <c r="J286" s="164"/>
      <c r="K286" s="165"/>
      <c r="L286" s="59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59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59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59">
        <f t="shared" ca="1" si="119"/>
        <v>0</v>
      </c>
      <c r="P286" s="59">
        <f t="shared" ca="1" si="120"/>
        <v>0</v>
      </c>
    </row>
    <row r="287" spans="1:16" ht="18.75" x14ac:dyDescent="0.25">
      <c r="A287" s="157"/>
      <c r="B287" s="53"/>
      <c r="C287" s="53"/>
      <c r="D287" s="53"/>
      <c r="E287" s="60" t="s">
        <v>35</v>
      </c>
      <c r="F287" s="53"/>
      <c r="G287" s="55"/>
      <c r="H287" s="163" t="s">
        <v>12</v>
      </c>
      <c r="I287" s="164"/>
      <c r="J287" s="164"/>
      <c r="K287" s="165"/>
      <c r="L287" s="59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137720)</f>
        <v>137720</v>
      </c>
      <c r="M287" s="59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102980)</f>
        <v>102980</v>
      </c>
      <c r="N287" s="59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38350)</f>
        <v>38350</v>
      </c>
      <c r="O287" s="59">
        <f t="shared" ca="1" si="119"/>
        <v>27.846354923032241</v>
      </c>
      <c r="P287" s="59">
        <f t="shared" ca="1" si="120"/>
        <v>37.240240823460866</v>
      </c>
    </row>
    <row r="288" spans="1:16" ht="18.75" x14ac:dyDescent="0.25">
      <c r="A288" s="157"/>
      <c r="B288" s="53"/>
      <c r="C288" s="53"/>
      <c r="D288" s="54" t="s">
        <v>21</v>
      </c>
      <c r="E288" s="53"/>
      <c r="F288" s="53"/>
      <c r="G288" s="55"/>
      <c r="H288" s="166" t="s">
        <v>12</v>
      </c>
      <c r="I288" s="164"/>
      <c r="J288" s="164"/>
      <c r="K288" s="165"/>
      <c r="L288" s="59">
        <f t="shared" ref="L288:N288" ca="1" si="124">L289+L290</f>
        <v>0</v>
      </c>
      <c r="M288" s="59">
        <f t="shared" ca="1" si="124"/>
        <v>0</v>
      </c>
      <c r="N288" s="59">
        <f t="shared" ca="1" si="124"/>
        <v>0</v>
      </c>
      <c r="O288" s="59">
        <f t="shared" ca="1" si="119"/>
        <v>0</v>
      </c>
      <c r="P288" s="59">
        <f t="shared" ca="1" si="120"/>
        <v>0</v>
      </c>
    </row>
    <row r="289" spans="1:16" ht="18.75" x14ac:dyDescent="0.25">
      <c r="A289" s="157"/>
      <c r="B289" s="53"/>
      <c r="C289" s="53"/>
      <c r="D289" s="53"/>
      <c r="E289" s="60" t="s">
        <v>18</v>
      </c>
      <c r="F289" s="53"/>
      <c r="G289" s="55"/>
      <c r="H289" s="163" t="s">
        <v>12</v>
      </c>
      <c r="I289" s="164"/>
      <c r="J289" s="164"/>
      <c r="K289" s="165"/>
      <c r="L289" s="59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59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59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59">
        <f t="shared" ca="1" si="119"/>
        <v>0</v>
      </c>
      <c r="P289" s="59">
        <f t="shared" ca="1" si="120"/>
        <v>0</v>
      </c>
    </row>
    <row r="290" spans="1:16" ht="18.75" x14ac:dyDescent="0.25">
      <c r="A290" s="157"/>
      <c r="B290" s="53"/>
      <c r="C290" s="53"/>
      <c r="D290" s="53"/>
      <c r="E290" s="60" t="s">
        <v>19</v>
      </c>
      <c r="F290" s="53"/>
      <c r="G290" s="55"/>
      <c r="H290" s="166" t="s">
        <v>12</v>
      </c>
      <c r="I290" s="164"/>
      <c r="J290" s="164"/>
      <c r="K290" s="165"/>
      <c r="L290" s="59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59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59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59">
        <f t="shared" ca="1" si="119"/>
        <v>0</v>
      </c>
      <c r="P290" s="59">
        <f t="shared" ca="1" si="120"/>
        <v>0</v>
      </c>
    </row>
    <row r="291" spans="1:16" ht="19.5" x14ac:dyDescent="0.3">
      <c r="A291" s="167"/>
      <c r="B291" s="168"/>
      <c r="C291" s="158" t="s">
        <v>16</v>
      </c>
      <c r="D291" s="169" t="s">
        <v>36</v>
      </c>
      <c r="E291" s="170"/>
      <c r="F291" s="170"/>
      <c r="G291" s="171"/>
      <c r="H291" s="172"/>
      <c r="I291" s="164"/>
      <c r="J291" s="164"/>
      <c r="K291" s="165"/>
      <c r="L291" s="165"/>
      <c r="M291" s="165"/>
      <c r="N291" s="165"/>
      <c r="O291" s="165"/>
      <c r="P291" s="165"/>
    </row>
    <row r="292" spans="1:16" ht="18.75" x14ac:dyDescent="0.25">
      <c r="A292" s="167"/>
      <c r="B292" s="168"/>
      <c r="C292" s="168"/>
      <c r="D292" s="195" t="s">
        <v>113</v>
      </c>
      <c r="E292" s="168"/>
      <c r="F292" s="174"/>
      <c r="G292" s="172"/>
      <c r="H292" s="185" t="s">
        <v>44</v>
      </c>
      <c r="I292" s="196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2" s="182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0)</f>
        <v>0</v>
      </c>
      <c r="K292" s="183">
        <f t="shared" ref="K292:K293" ca="1" si="125">IF(I292&gt;0,J292*100/I292,0)</f>
        <v>0</v>
      </c>
      <c r="L292" s="165"/>
      <c r="M292" s="165"/>
      <c r="N292" s="165"/>
      <c r="O292" s="165"/>
      <c r="P292" s="165"/>
    </row>
    <row r="293" spans="1:16" ht="19.5" x14ac:dyDescent="0.3">
      <c r="A293" s="167"/>
      <c r="B293" s="168"/>
      <c r="C293" s="168"/>
      <c r="D293" s="179" t="s">
        <v>114</v>
      </c>
      <c r="E293" s="168"/>
      <c r="F293" s="174"/>
      <c r="G293" s="172"/>
      <c r="H293" s="175" t="s">
        <v>33</v>
      </c>
      <c r="I293" s="176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3" s="176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0)</f>
        <v>0</v>
      </c>
      <c r="K293" s="177">
        <f t="shared" ca="1" si="125"/>
        <v>0</v>
      </c>
      <c r="L293" s="165"/>
      <c r="M293" s="165"/>
      <c r="N293" s="165"/>
      <c r="O293" s="165"/>
      <c r="P293" s="165"/>
    </row>
    <row r="294" spans="1:16" ht="19.5" x14ac:dyDescent="0.3">
      <c r="A294" s="167"/>
      <c r="B294" s="168"/>
      <c r="C294" s="168"/>
      <c r="D294" s="174"/>
      <c r="E294" s="370" t="s">
        <v>115</v>
      </c>
      <c r="F294" s="174"/>
      <c r="G294" s="172"/>
      <c r="H294" s="172"/>
      <c r="I294" s="164"/>
      <c r="J294" s="57"/>
      <c r="K294" s="165"/>
      <c r="L294" s="165"/>
      <c r="M294" s="165"/>
      <c r="N294" s="165"/>
      <c r="O294" s="165"/>
      <c r="P294" s="165"/>
    </row>
    <row r="295" spans="1:16" ht="19.5" x14ac:dyDescent="0.3">
      <c r="A295" s="167"/>
      <c r="B295" s="168"/>
      <c r="C295" s="168"/>
      <c r="D295" s="174"/>
      <c r="E295" s="195" t="s">
        <v>116</v>
      </c>
      <c r="F295" s="174"/>
      <c r="G295" s="172"/>
      <c r="H295" s="180" t="s">
        <v>33</v>
      </c>
      <c r="I295" s="184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5" s="182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0)</f>
        <v>0</v>
      </c>
      <c r="K295" s="183">
        <f t="shared" ref="K295:K296" ca="1" si="126">IF(I295&gt;0,J295*100/I295,0)</f>
        <v>0</v>
      </c>
      <c r="L295" s="165"/>
      <c r="M295" s="165"/>
      <c r="N295" s="165"/>
      <c r="O295" s="165"/>
      <c r="P295" s="165"/>
    </row>
    <row r="296" spans="1:16" ht="19.5" x14ac:dyDescent="0.3">
      <c r="A296" s="167"/>
      <c r="B296" s="168"/>
      <c r="C296" s="168"/>
      <c r="D296" s="174"/>
      <c r="E296" s="179" t="s">
        <v>117</v>
      </c>
      <c r="F296" s="174"/>
      <c r="G296" s="172"/>
      <c r="H296" s="180" t="s">
        <v>33</v>
      </c>
      <c r="I296" s="184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6" s="182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0)</f>
        <v>0</v>
      </c>
      <c r="K296" s="183">
        <f t="shared" ca="1" si="126"/>
        <v>0</v>
      </c>
      <c r="L296" s="165"/>
      <c r="M296" s="165"/>
      <c r="N296" s="165"/>
      <c r="O296" s="165"/>
      <c r="P296" s="165"/>
    </row>
    <row r="297" spans="1:16" ht="19.5" hidden="1" x14ac:dyDescent="0.3">
      <c r="A297" s="337"/>
      <c r="B297" s="213"/>
      <c r="C297" s="213"/>
      <c r="D297" s="17"/>
      <c r="E297" s="212"/>
      <c r="F297" s="17"/>
      <c r="G297" s="20"/>
      <c r="H297" s="20"/>
      <c r="I297" s="22"/>
      <c r="J297" s="22"/>
      <c r="K297" s="23"/>
      <c r="L297" s="23"/>
      <c r="M297" s="23"/>
      <c r="N297" s="23"/>
      <c r="O297" s="23"/>
      <c r="P297" s="23"/>
    </row>
    <row r="298" spans="1:16" ht="18.75" hidden="1" x14ac:dyDescent="0.25">
      <c r="A298" s="337"/>
      <c r="B298" s="213"/>
      <c r="C298" s="213"/>
      <c r="D298" s="17"/>
      <c r="E298" s="25"/>
      <c r="F298" s="17"/>
      <c r="G298" s="20"/>
      <c r="H298" s="26"/>
      <c r="I298" s="214"/>
      <c r="J298" s="214"/>
      <c r="K298" s="27"/>
      <c r="L298" s="23"/>
      <c r="M298" s="23"/>
      <c r="N298" s="23"/>
      <c r="O298" s="23"/>
      <c r="P298" s="23"/>
    </row>
    <row r="299" spans="1:16" ht="18.75" hidden="1" x14ac:dyDescent="0.25">
      <c r="A299" s="371"/>
      <c r="B299" s="372"/>
      <c r="C299" s="372"/>
      <c r="D299" s="373"/>
      <c r="E299" s="374"/>
      <c r="F299" s="373"/>
      <c r="G299" s="375"/>
      <c r="H299" s="376"/>
      <c r="I299" s="377"/>
      <c r="J299" s="377"/>
      <c r="K299" s="378"/>
      <c r="L299" s="379"/>
      <c r="M299" s="379"/>
      <c r="N299" s="379"/>
      <c r="O299" s="379"/>
      <c r="P299" s="379"/>
    </row>
    <row r="300" spans="1:16" ht="19.5" x14ac:dyDescent="0.3">
      <c r="A300" s="380" t="s">
        <v>118</v>
      </c>
      <c r="B300" s="381"/>
      <c r="C300" s="381"/>
      <c r="D300" s="381"/>
      <c r="E300" s="382"/>
      <c r="F300" s="382"/>
      <c r="G300" s="382"/>
      <c r="H300" s="382"/>
      <c r="I300" s="383"/>
      <c r="J300" s="383"/>
      <c r="K300" s="384"/>
      <c r="L300" s="384"/>
      <c r="M300" s="384"/>
      <c r="N300" s="384"/>
      <c r="O300" s="384"/>
      <c r="P300" s="385"/>
    </row>
    <row r="301" spans="1:16" ht="19.5" x14ac:dyDescent="0.3">
      <c r="A301" s="386" t="s">
        <v>119</v>
      </c>
      <c r="B301" s="387"/>
      <c r="C301" s="387"/>
      <c r="D301" s="388"/>
      <c r="E301" s="388"/>
      <c r="F301" s="388"/>
      <c r="G301" s="389"/>
      <c r="H301" s="389"/>
      <c r="I301" s="390"/>
      <c r="J301" s="390"/>
      <c r="K301" s="391"/>
      <c r="L301" s="391"/>
      <c r="M301" s="391"/>
      <c r="N301" s="391"/>
      <c r="O301" s="391"/>
      <c r="P301" s="391"/>
    </row>
    <row r="302" spans="1:16" ht="19.5" x14ac:dyDescent="0.3">
      <c r="A302" s="392"/>
      <c r="B302" s="393" t="s">
        <v>120</v>
      </c>
      <c r="C302" s="394"/>
      <c r="D302" s="394"/>
      <c r="E302" s="394"/>
      <c r="F302" s="394"/>
      <c r="G302" s="395"/>
      <c r="H302" s="396" t="s">
        <v>33</v>
      </c>
      <c r="I302" s="397">
        <f t="shared" ref="I302:J302" ca="1" si="127">I314</f>
        <v>160</v>
      </c>
      <c r="J302" s="397">
        <f t="shared" ca="1" si="127"/>
        <v>0</v>
      </c>
      <c r="K302" s="398">
        <f ca="1">IF(I302&gt;0,J302*100/I302,0)</f>
        <v>0</v>
      </c>
      <c r="L302" s="399"/>
      <c r="M302" s="399"/>
      <c r="N302" s="399"/>
      <c r="O302" s="399"/>
      <c r="P302" s="399"/>
    </row>
    <row r="303" spans="1:16" ht="19.5" x14ac:dyDescent="0.3">
      <c r="A303" s="157"/>
      <c r="B303" s="53"/>
      <c r="C303" s="158" t="s">
        <v>16</v>
      </c>
      <c r="D303" s="159" t="s">
        <v>17</v>
      </c>
      <c r="E303" s="53"/>
      <c r="F303" s="53"/>
      <c r="G303" s="55"/>
      <c r="H303" s="160" t="s">
        <v>12</v>
      </c>
      <c r="I303" s="57"/>
      <c r="J303" s="57"/>
      <c r="K303" s="58"/>
      <c r="L303" s="161">
        <f t="shared" ref="L303:N303" ca="1" si="128">L304+L305</f>
        <v>1119100</v>
      </c>
      <c r="M303" s="161">
        <f t="shared" ca="1" si="128"/>
        <v>843700</v>
      </c>
      <c r="N303" s="161">
        <f t="shared" ca="1" si="128"/>
        <v>181231.66999999899</v>
      </c>
      <c r="O303" s="161">
        <f t="shared" ref="O303:O311" ca="1" si="129">IF(L303&gt;0,N303*100/L303,0)</f>
        <v>16.194412474309622</v>
      </c>
      <c r="P303" s="161">
        <f t="shared" ref="P303:P311" ca="1" si="130">IF(M303&gt;0,N303*100/M303,0)</f>
        <v>21.480581960412351</v>
      </c>
    </row>
    <row r="304" spans="1:16" ht="18.75" x14ac:dyDescent="0.25">
      <c r="A304" s="157"/>
      <c r="B304" s="53"/>
      <c r="C304" s="53"/>
      <c r="D304" s="53"/>
      <c r="E304" s="60" t="s">
        <v>18</v>
      </c>
      <c r="F304" s="53"/>
      <c r="G304" s="55"/>
      <c r="H304" s="162" t="s">
        <v>12</v>
      </c>
      <c r="I304" s="57"/>
      <c r="J304" s="57"/>
      <c r="K304" s="58"/>
      <c r="L304" s="59">
        <f t="shared" ref="L304:N304" ca="1" si="131">L307+L310</f>
        <v>0</v>
      </c>
      <c r="M304" s="59">
        <f t="shared" ca="1" si="131"/>
        <v>0</v>
      </c>
      <c r="N304" s="59">
        <f t="shared" ca="1" si="131"/>
        <v>0</v>
      </c>
      <c r="O304" s="59">
        <f t="shared" ca="1" si="129"/>
        <v>0</v>
      </c>
      <c r="P304" s="59">
        <f t="shared" ca="1" si="130"/>
        <v>0</v>
      </c>
    </row>
    <row r="305" spans="1:16" ht="18.75" x14ac:dyDescent="0.25">
      <c r="A305" s="157"/>
      <c r="B305" s="53"/>
      <c r="C305" s="53"/>
      <c r="D305" s="53"/>
      <c r="E305" s="60" t="s">
        <v>19</v>
      </c>
      <c r="F305" s="53"/>
      <c r="G305" s="55"/>
      <c r="H305" s="162" t="s">
        <v>12</v>
      </c>
      <c r="I305" s="57"/>
      <c r="J305" s="57"/>
      <c r="K305" s="58"/>
      <c r="L305" s="59">
        <f t="shared" ref="L305:N305" ca="1" si="132">L308+L311</f>
        <v>1119100</v>
      </c>
      <c r="M305" s="59">
        <f t="shared" ca="1" si="132"/>
        <v>843700</v>
      </c>
      <c r="N305" s="59">
        <f t="shared" ca="1" si="132"/>
        <v>181231.66999999899</v>
      </c>
      <c r="O305" s="59">
        <f t="shared" ca="1" si="129"/>
        <v>16.194412474309622</v>
      </c>
      <c r="P305" s="59">
        <f t="shared" ca="1" si="130"/>
        <v>21.480581960412351</v>
      </c>
    </row>
    <row r="306" spans="1:16" ht="18.75" x14ac:dyDescent="0.25">
      <c r="A306" s="157"/>
      <c r="B306" s="53"/>
      <c r="C306" s="53"/>
      <c r="D306" s="54" t="s">
        <v>20</v>
      </c>
      <c r="E306" s="53"/>
      <c r="F306" s="53"/>
      <c r="G306" s="55"/>
      <c r="H306" s="163" t="s">
        <v>12</v>
      </c>
      <c r="I306" s="164"/>
      <c r="J306" s="164"/>
      <c r="K306" s="165"/>
      <c r="L306" s="59">
        <f t="shared" ref="L306:N306" ca="1" si="133">L307+L308</f>
        <v>1119100</v>
      </c>
      <c r="M306" s="59">
        <f t="shared" ca="1" si="133"/>
        <v>843700</v>
      </c>
      <c r="N306" s="59">
        <f t="shared" ca="1" si="133"/>
        <v>181231.66999999899</v>
      </c>
      <c r="O306" s="59">
        <f t="shared" ca="1" si="129"/>
        <v>16.194412474309622</v>
      </c>
      <c r="P306" s="59">
        <f t="shared" ca="1" si="130"/>
        <v>21.480581960412351</v>
      </c>
    </row>
    <row r="307" spans="1:16" ht="18.75" x14ac:dyDescent="0.25">
      <c r="A307" s="157"/>
      <c r="B307" s="53"/>
      <c r="C307" s="53"/>
      <c r="D307" s="53"/>
      <c r="E307" s="60" t="s">
        <v>34</v>
      </c>
      <c r="F307" s="53"/>
      <c r="G307" s="55"/>
      <c r="H307" s="163" t="s">
        <v>12</v>
      </c>
      <c r="I307" s="164"/>
      <c r="J307" s="164"/>
      <c r="K307" s="165"/>
      <c r="L307" s="59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59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59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59">
        <f t="shared" ca="1" si="129"/>
        <v>0</v>
      </c>
      <c r="P307" s="59">
        <f t="shared" ca="1" si="130"/>
        <v>0</v>
      </c>
    </row>
    <row r="308" spans="1:16" ht="18.75" x14ac:dyDescent="0.25">
      <c r="A308" s="157"/>
      <c r="B308" s="53"/>
      <c r="C308" s="53"/>
      <c r="D308" s="53"/>
      <c r="E308" s="60" t="s">
        <v>35</v>
      </c>
      <c r="F308" s="53"/>
      <c r="G308" s="55"/>
      <c r="H308" s="163" t="s">
        <v>12</v>
      </c>
      <c r="I308" s="164"/>
      <c r="J308" s="164"/>
      <c r="K308" s="165"/>
      <c r="L308" s="59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1119100)</f>
        <v>1119100</v>
      </c>
      <c r="M308" s="59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843700)</f>
        <v>843700</v>
      </c>
      <c r="N308" s="59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181231.669999999)</f>
        <v>181231.66999999899</v>
      </c>
      <c r="O308" s="59">
        <f t="shared" ca="1" si="129"/>
        <v>16.194412474309622</v>
      </c>
      <c r="P308" s="59">
        <f t="shared" ca="1" si="130"/>
        <v>21.480581960412351</v>
      </c>
    </row>
    <row r="309" spans="1:16" ht="18.75" x14ac:dyDescent="0.25">
      <c r="A309" s="157"/>
      <c r="B309" s="53"/>
      <c r="C309" s="53"/>
      <c r="D309" s="54" t="s">
        <v>21</v>
      </c>
      <c r="E309" s="53"/>
      <c r="F309" s="53"/>
      <c r="G309" s="55"/>
      <c r="H309" s="166" t="s">
        <v>12</v>
      </c>
      <c r="I309" s="164"/>
      <c r="J309" s="164"/>
      <c r="K309" s="165"/>
      <c r="L309" s="59">
        <f t="shared" ref="L309:N309" ca="1" si="134">L310+L311</f>
        <v>0</v>
      </c>
      <c r="M309" s="59">
        <f t="shared" ca="1" si="134"/>
        <v>0</v>
      </c>
      <c r="N309" s="59">
        <f t="shared" ca="1" si="134"/>
        <v>0</v>
      </c>
      <c r="O309" s="59">
        <f t="shared" ca="1" si="129"/>
        <v>0</v>
      </c>
      <c r="P309" s="59">
        <f t="shared" ca="1" si="130"/>
        <v>0</v>
      </c>
    </row>
    <row r="310" spans="1:16" ht="18.75" x14ac:dyDescent="0.25">
      <c r="A310" s="157"/>
      <c r="B310" s="53"/>
      <c r="C310" s="53"/>
      <c r="D310" s="53"/>
      <c r="E310" s="60" t="s">
        <v>18</v>
      </c>
      <c r="F310" s="53"/>
      <c r="G310" s="55"/>
      <c r="H310" s="163" t="s">
        <v>12</v>
      </c>
      <c r="I310" s="164"/>
      <c r="J310" s="164"/>
      <c r="K310" s="165"/>
      <c r="L310" s="59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59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59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59">
        <f t="shared" ca="1" si="129"/>
        <v>0</v>
      </c>
      <c r="P310" s="59">
        <f t="shared" ca="1" si="130"/>
        <v>0</v>
      </c>
    </row>
    <row r="311" spans="1:16" ht="18.75" x14ac:dyDescent="0.25">
      <c r="A311" s="157"/>
      <c r="B311" s="53"/>
      <c r="C311" s="53"/>
      <c r="D311" s="53"/>
      <c r="E311" s="60" t="s">
        <v>19</v>
      </c>
      <c r="F311" s="53"/>
      <c r="G311" s="55"/>
      <c r="H311" s="166" t="s">
        <v>12</v>
      </c>
      <c r="I311" s="164"/>
      <c r="J311" s="164"/>
      <c r="K311" s="165"/>
      <c r="L311" s="59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59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59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59">
        <f t="shared" ca="1" si="129"/>
        <v>0</v>
      </c>
      <c r="P311" s="59">
        <f t="shared" ca="1" si="130"/>
        <v>0</v>
      </c>
    </row>
    <row r="312" spans="1:16" ht="19.5" x14ac:dyDescent="0.3">
      <c r="A312" s="167"/>
      <c r="B312" s="168"/>
      <c r="C312" s="158" t="s">
        <v>16</v>
      </c>
      <c r="D312" s="169" t="s">
        <v>36</v>
      </c>
      <c r="E312" s="170"/>
      <c r="F312" s="170"/>
      <c r="G312" s="171"/>
      <c r="H312" s="172"/>
      <c r="I312" s="57"/>
      <c r="J312" s="57"/>
      <c r="K312" s="58"/>
      <c r="L312" s="58"/>
      <c r="M312" s="58"/>
      <c r="N312" s="58"/>
      <c r="O312" s="58"/>
      <c r="P312" s="58"/>
    </row>
    <row r="313" spans="1:16" ht="18.75" x14ac:dyDescent="0.25">
      <c r="A313" s="167"/>
      <c r="B313" s="168"/>
      <c r="C313" s="168"/>
      <c r="D313" s="195" t="s">
        <v>121</v>
      </c>
      <c r="E313" s="174"/>
      <c r="F313" s="174"/>
      <c r="G313" s="172"/>
      <c r="H313" s="172"/>
      <c r="I313" s="57"/>
      <c r="J313" s="182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58"/>
      <c r="L313" s="58"/>
      <c r="M313" s="58"/>
      <c r="N313" s="58"/>
      <c r="O313" s="58"/>
      <c r="P313" s="58"/>
    </row>
    <row r="314" spans="1:16" ht="18.75" x14ac:dyDescent="0.25">
      <c r="A314" s="167"/>
      <c r="B314" s="168"/>
      <c r="C314" s="168"/>
      <c r="D314" s="179" t="s">
        <v>114</v>
      </c>
      <c r="E314" s="174"/>
      <c r="F314" s="174"/>
      <c r="G314" s="172"/>
      <c r="H314" s="180" t="s">
        <v>33</v>
      </c>
      <c r="I314" s="196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160)</f>
        <v>160</v>
      </c>
      <c r="J314" s="182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0)</f>
        <v>0</v>
      </c>
      <c r="K314" s="59">
        <f t="shared" ref="K314:K317" ca="1" si="135">IF(I314&gt;0,J314*100/I314,0)</f>
        <v>0</v>
      </c>
      <c r="L314" s="58"/>
      <c r="M314" s="58"/>
      <c r="N314" s="58"/>
      <c r="O314" s="58"/>
      <c r="P314" s="58"/>
    </row>
    <row r="315" spans="1:16" ht="18.75" x14ac:dyDescent="0.25">
      <c r="A315" s="167"/>
      <c r="B315" s="168"/>
      <c r="C315" s="168"/>
      <c r="D315" s="179" t="s">
        <v>122</v>
      </c>
      <c r="E315" s="174"/>
      <c r="F315" s="174"/>
      <c r="G315" s="172"/>
      <c r="H315" s="180" t="s">
        <v>33</v>
      </c>
      <c r="I315" s="196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32)</f>
        <v>32</v>
      </c>
      <c r="J315" s="182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59">
        <f t="shared" ca="1" si="135"/>
        <v>0</v>
      </c>
      <c r="L315" s="58"/>
      <c r="M315" s="58"/>
      <c r="N315" s="58"/>
      <c r="O315" s="58"/>
      <c r="P315" s="58"/>
    </row>
    <row r="316" spans="1:16" ht="18.75" x14ac:dyDescent="0.25">
      <c r="A316" s="167"/>
      <c r="B316" s="168"/>
      <c r="C316" s="168"/>
      <c r="D316" s="195" t="s">
        <v>48</v>
      </c>
      <c r="E316" s="174"/>
      <c r="F316" s="174"/>
      <c r="G316" s="172"/>
      <c r="H316" s="180" t="s">
        <v>33</v>
      </c>
      <c r="I316" s="196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160)</f>
        <v>160</v>
      </c>
      <c r="J316" s="182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59">
        <f t="shared" ca="1" si="135"/>
        <v>0</v>
      </c>
      <c r="L316" s="58"/>
      <c r="M316" s="58"/>
      <c r="N316" s="58"/>
      <c r="O316" s="58"/>
      <c r="P316" s="58"/>
    </row>
    <row r="317" spans="1:16" ht="18.75" x14ac:dyDescent="0.25">
      <c r="A317" s="276"/>
      <c r="B317" s="280"/>
      <c r="C317" s="280"/>
      <c r="D317" s="60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32)</f>
        <v>32</v>
      </c>
      <c r="J317" s="182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59">
        <f t="shared" ca="1" si="135"/>
        <v>0</v>
      </c>
      <c r="L317" s="58"/>
      <c r="M317" s="58"/>
      <c r="N317" s="58"/>
      <c r="O317" s="58"/>
      <c r="P317" s="58"/>
    </row>
    <row r="318" spans="1:16" ht="19.5" x14ac:dyDescent="0.3">
      <c r="A318" s="386" t="s">
        <v>124</v>
      </c>
      <c r="B318" s="387"/>
      <c r="C318" s="387"/>
      <c r="D318" s="388"/>
      <c r="E318" s="387"/>
      <c r="F318" s="387"/>
      <c r="G318" s="387"/>
      <c r="H318" s="388"/>
      <c r="I318" s="390"/>
      <c r="J318" s="390"/>
      <c r="K318" s="391"/>
      <c r="L318" s="391"/>
      <c r="M318" s="391"/>
      <c r="N318" s="391"/>
      <c r="O318" s="391"/>
      <c r="P318" s="391"/>
    </row>
    <row r="319" spans="1:16" ht="19.5" x14ac:dyDescent="0.3">
      <c r="A319" s="400"/>
      <c r="B319" s="393" t="s">
        <v>125</v>
      </c>
      <c r="C319" s="401"/>
      <c r="D319" s="402"/>
      <c r="E319" s="394"/>
      <c r="F319" s="394"/>
      <c r="G319" s="395"/>
      <c r="H319" s="396" t="s">
        <v>126</v>
      </c>
      <c r="I319" s="397">
        <f t="shared" ref="I319:J319" ca="1" si="136">I330</f>
        <v>3</v>
      </c>
      <c r="J319" s="397">
        <f t="shared" ca="1" si="136"/>
        <v>1</v>
      </c>
      <c r="K319" s="398">
        <f ca="1">IF(I319&gt;0,J319*100/I319,0)</f>
        <v>33.333333333333336</v>
      </c>
      <c r="L319" s="399"/>
      <c r="M319" s="399"/>
      <c r="N319" s="399"/>
      <c r="O319" s="399"/>
      <c r="P319" s="399"/>
    </row>
    <row r="320" spans="1:16" ht="19.5" x14ac:dyDescent="0.3">
      <c r="A320" s="157"/>
      <c r="B320" s="53"/>
      <c r="C320" s="158" t="s">
        <v>16</v>
      </c>
      <c r="D320" s="159" t="s">
        <v>17</v>
      </c>
      <c r="E320" s="53"/>
      <c r="F320" s="53"/>
      <c r="G320" s="55"/>
      <c r="H320" s="160" t="s">
        <v>12</v>
      </c>
      <c r="I320" s="57"/>
      <c r="J320" s="57"/>
      <c r="K320" s="58"/>
      <c r="L320" s="161">
        <f t="shared" ref="L320:N320" ca="1" si="137">L321+L322</f>
        <v>90000</v>
      </c>
      <c r="M320" s="161">
        <f t="shared" ca="1" si="137"/>
        <v>90000</v>
      </c>
      <c r="N320" s="161">
        <f t="shared" ca="1" si="137"/>
        <v>6460</v>
      </c>
      <c r="O320" s="161">
        <f t="shared" ref="O320:O328" ca="1" si="138">IF(L320&gt;0,N320*100/L320,0)</f>
        <v>7.177777777777778</v>
      </c>
      <c r="P320" s="161">
        <f t="shared" ref="P320:P328" ca="1" si="139">IF(M320&gt;0,N320*100/M320,0)</f>
        <v>7.177777777777778</v>
      </c>
    </row>
    <row r="321" spans="1:16" ht="18.75" x14ac:dyDescent="0.25">
      <c r="A321" s="157"/>
      <c r="B321" s="53"/>
      <c r="C321" s="53"/>
      <c r="D321" s="53"/>
      <c r="E321" s="60" t="s">
        <v>18</v>
      </c>
      <c r="F321" s="53"/>
      <c r="G321" s="55"/>
      <c r="H321" s="162" t="s">
        <v>12</v>
      </c>
      <c r="I321" s="57"/>
      <c r="J321" s="57"/>
      <c r="K321" s="58"/>
      <c r="L321" s="59">
        <f t="shared" ref="L321:N321" ca="1" si="140">L324+L327</f>
        <v>0</v>
      </c>
      <c r="M321" s="59">
        <f t="shared" ca="1" si="140"/>
        <v>0</v>
      </c>
      <c r="N321" s="59">
        <f t="shared" ca="1" si="140"/>
        <v>0</v>
      </c>
      <c r="O321" s="59">
        <f t="shared" ca="1" si="138"/>
        <v>0</v>
      </c>
      <c r="P321" s="59">
        <f t="shared" ca="1" si="139"/>
        <v>0</v>
      </c>
    </row>
    <row r="322" spans="1:16" ht="18.75" x14ac:dyDescent="0.25">
      <c r="A322" s="157"/>
      <c r="B322" s="53"/>
      <c r="C322" s="53"/>
      <c r="D322" s="53"/>
      <c r="E322" s="60" t="s">
        <v>19</v>
      </c>
      <c r="F322" s="53"/>
      <c r="G322" s="55"/>
      <c r="H322" s="162" t="s">
        <v>12</v>
      </c>
      <c r="I322" s="57"/>
      <c r="J322" s="57"/>
      <c r="K322" s="58"/>
      <c r="L322" s="59">
        <f t="shared" ref="L322:N322" ca="1" si="141">L325+L328</f>
        <v>90000</v>
      </c>
      <c r="M322" s="59">
        <f t="shared" ca="1" si="141"/>
        <v>90000</v>
      </c>
      <c r="N322" s="59">
        <f t="shared" ca="1" si="141"/>
        <v>6460</v>
      </c>
      <c r="O322" s="59">
        <f t="shared" ca="1" si="138"/>
        <v>7.177777777777778</v>
      </c>
      <c r="P322" s="59">
        <f t="shared" ca="1" si="139"/>
        <v>7.177777777777778</v>
      </c>
    </row>
    <row r="323" spans="1:16" ht="18.75" x14ac:dyDescent="0.25">
      <c r="A323" s="157"/>
      <c r="B323" s="53"/>
      <c r="C323" s="53"/>
      <c r="D323" s="54" t="s">
        <v>20</v>
      </c>
      <c r="E323" s="53"/>
      <c r="F323" s="53"/>
      <c r="G323" s="55"/>
      <c r="H323" s="163" t="s">
        <v>12</v>
      </c>
      <c r="I323" s="164"/>
      <c r="J323" s="164"/>
      <c r="K323" s="165"/>
      <c r="L323" s="59">
        <f t="shared" ref="L323:N323" ca="1" si="142">L324+L325</f>
        <v>90000</v>
      </c>
      <c r="M323" s="59">
        <f t="shared" ca="1" si="142"/>
        <v>90000</v>
      </c>
      <c r="N323" s="59">
        <f t="shared" ca="1" si="142"/>
        <v>6460</v>
      </c>
      <c r="O323" s="59">
        <f t="shared" ca="1" si="138"/>
        <v>7.177777777777778</v>
      </c>
      <c r="P323" s="59">
        <f t="shared" ca="1" si="139"/>
        <v>7.177777777777778</v>
      </c>
    </row>
    <row r="324" spans="1:16" ht="18.75" x14ac:dyDescent="0.25">
      <c r="A324" s="157"/>
      <c r="B324" s="53"/>
      <c r="C324" s="53"/>
      <c r="D324" s="53"/>
      <c r="E324" s="60" t="s">
        <v>34</v>
      </c>
      <c r="F324" s="53"/>
      <c r="G324" s="55"/>
      <c r="H324" s="163" t="s">
        <v>12</v>
      </c>
      <c r="I324" s="164"/>
      <c r="J324" s="164"/>
      <c r="K324" s="165"/>
      <c r="L324" s="59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59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59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59">
        <f t="shared" ca="1" si="138"/>
        <v>0</v>
      </c>
      <c r="P324" s="59">
        <f t="shared" ca="1" si="139"/>
        <v>0</v>
      </c>
    </row>
    <row r="325" spans="1:16" ht="18.75" x14ac:dyDescent="0.25">
      <c r="A325" s="157"/>
      <c r="B325" s="53"/>
      <c r="C325" s="53"/>
      <c r="D325" s="53"/>
      <c r="E325" s="60" t="s">
        <v>35</v>
      </c>
      <c r="F325" s="53"/>
      <c r="G325" s="55"/>
      <c r="H325" s="163" t="s">
        <v>12</v>
      </c>
      <c r="I325" s="164"/>
      <c r="J325" s="164"/>
      <c r="K325" s="165"/>
      <c r="L325" s="59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90000)</f>
        <v>90000</v>
      </c>
      <c r="M325" s="59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90000)</f>
        <v>90000</v>
      </c>
      <c r="N325" s="59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6460)</f>
        <v>6460</v>
      </c>
      <c r="O325" s="59">
        <f t="shared" ca="1" si="138"/>
        <v>7.177777777777778</v>
      </c>
      <c r="P325" s="59">
        <f t="shared" ca="1" si="139"/>
        <v>7.177777777777778</v>
      </c>
    </row>
    <row r="326" spans="1:16" ht="18.75" x14ac:dyDescent="0.25">
      <c r="A326" s="157"/>
      <c r="B326" s="53"/>
      <c r="C326" s="53"/>
      <c r="D326" s="54" t="s">
        <v>21</v>
      </c>
      <c r="E326" s="53"/>
      <c r="F326" s="53"/>
      <c r="G326" s="55"/>
      <c r="H326" s="166" t="s">
        <v>12</v>
      </c>
      <c r="I326" s="164"/>
      <c r="J326" s="164"/>
      <c r="K326" s="165"/>
      <c r="L326" s="59">
        <f t="shared" ref="L326:N326" ca="1" si="143">L327+L328</f>
        <v>0</v>
      </c>
      <c r="M326" s="59">
        <f t="shared" ca="1" si="143"/>
        <v>0</v>
      </c>
      <c r="N326" s="59">
        <f t="shared" ca="1" si="143"/>
        <v>0</v>
      </c>
      <c r="O326" s="59">
        <f t="shared" ca="1" si="138"/>
        <v>0</v>
      </c>
      <c r="P326" s="59">
        <f t="shared" ca="1" si="139"/>
        <v>0</v>
      </c>
    </row>
    <row r="327" spans="1:16" ht="18.75" x14ac:dyDescent="0.25">
      <c r="A327" s="157"/>
      <c r="B327" s="53"/>
      <c r="C327" s="53"/>
      <c r="D327" s="53"/>
      <c r="E327" s="60" t="s">
        <v>18</v>
      </c>
      <c r="F327" s="53"/>
      <c r="G327" s="55"/>
      <c r="H327" s="163" t="s">
        <v>12</v>
      </c>
      <c r="I327" s="164"/>
      <c r="J327" s="164"/>
      <c r="K327" s="165"/>
      <c r="L327" s="59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59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59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59">
        <f t="shared" ca="1" si="138"/>
        <v>0</v>
      </c>
      <c r="P327" s="59">
        <f t="shared" ca="1" si="139"/>
        <v>0</v>
      </c>
    </row>
    <row r="328" spans="1:16" ht="18.75" x14ac:dyDescent="0.25">
      <c r="A328" s="157"/>
      <c r="B328" s="53"/>
      <c r="C328" s="53"/>
      <c r="D328" s="53"/>
      <c r="E328" s="60" t="s">
        <v>19</v>
      </c>
      <c r="F328" s="53"/>
      <c r="G328" s="55"/>
      <c r="H328" s="166" t="s">
        <v>12</v>
      </c>
      <c r="I328" s="164"/>
      <c r="J328" s="164"/>
      <c r="K328" s="165"/>
      <c r="L328" s="59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0)</f>
        <v>0</v>
      </c>
      <c r="M328" s="59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0)</f>
        <v>0</v>
      </c>
      <c r="N328" s="59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59">
        <f t="shared" ca="1" si="138"/>
        <v>0</v>
      </c>
      <c r="P328" s="59">
        <f t="shared" ca="1" si="139"/>
        <v>0</v>
      </c>
    </row>
    <row r="329" spans="1:16" ht="19.5" x14ac:dyDescent="0.3">
      <c r="A329" s="167"/>
      <c r="B329" s="168"/>
      <c r="C329" s="158" t="s">
        <v>16</v>
      </c>
      <c r="D329" s="169" t="s">
        <v>36</v>
      </c>
      <c r="E329" s="170"/>
      <c r="F329" s="170"/>
      <c r="G329" s="171"/>
      <c r="H329" s="172"/>
      <c r="I329" s="164"/>
      <c r="J329" s="57"/>
      <c r="K329" s="58"/>
      <c r="L329" s="58"/>
      <c r="M329" s="58"/>
      <c r="N329" s="58"/>
      <c r="O329" s="165"/>
      <c r="P329" s="165"/>
    </row>
    <row r="330" spans="1:16" ht="18.75" x14ac:dyDescent="0.25">
      <c r="A330" s="167"/>
      <c r="B330" s="168"/>
      <c r="C330" s="168"/>
      <c r="D330" s="173" t="s">
        <v>127</v>
      </c>
      <c r="E330" s="174"/>
      <c r="F330" s="174"/>
      <c r="G330" s="172"/>
      <c r="H330" s="56" t="s">
        <v>126</v>
      </c>
      <c r="I330" s="196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0" s="196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1)</f>
        <v>1</v>
      </c>
      <c r="K330" s="59">
        <f ca="1">IF(I330&gt;0,J330*100/I330,0)</f>
        <v>33.333333333333336</v>
      </c>
      <c r="L330" s="58"/>
      <c r="M330" s="58"/>
      <c r="N330" s="58"/>
      <c r="O330" s="165"/>
      <c r="P330" s="165"/>
    </row>
    <row r="331" spans="1:16" ht="19.5" x14ac:dyDescent="0.3">
      <c r="A331" s="386" t="s">
        <v>128</v>
      </c>
      <c r="B331" s="387"/>
      <c r="C331" s="387"/>
      <c r="D331" s="388"/>
      <c r="E331" s="387"/>
      <c r="F331" s="387"/>
      <c r="G331" s="387"/>
      <c r="H331" s="388"/>
      <c r="I331" s="390"/>
      <c r="J331" s="390"/>
      <c r="K331" s="391"/>
      <c r="L331" s="391"/>
      <c r="M331" s="391"/>
      <c r="N331" s="391"/>
      <c r="O331" s="391"/>
      <c r="P331" s="391"/>
    </row>
    <row r="332" spans="1:16" ht="19.5" x14ac:dyDescent="0.3">
      <c r="A332" s="392"/>
      <c r="B332" s="393" t="s">
        <v>129</v>
      </c>
      <c r="C332" s="402"/>
      <c r="D332" s="394"/>
      <c r="E332" s="394"/>
      <c r="F332" s="394"/>
      <c r="G332" s="395"/>
      <c r="H332" s="396" t="s">
        <v>33</v>
      </c>
      <c r="I332" s="403">
        <f ca="1">I344</f>
        <v>19420</v>
      </c>
      <c r="J332" s="404">
        <f ca="1">J344+J347+J348+J349+J353</f>
        <v>41221</v>
      </c>
      <c r="K332" s="405">
        <f ca="1">IF(I332&gt;0,J332*100/I332,0)</f>
        <v>212.26055612770341</v>
      </c>
      <c r="L332" s="399"/>
      <c r="M332" s="399"/>
      <c r="N332" s="399"/>
      <c r="O332" s="399"/>
      <c r="P332" s="399"/>
    </row>
    <row r="333" spans="1:16" ht="19.5" x14ac:dyDescent="0.3">
      <c r="A333" s="157"/>
      <c r="B333" s="53"/>
      <c r="C333" s="158" t="s">
        <v>16</v>
      </c>
      <c r="D333" s="159" t="s">
        <v>17</v>
      </c>
      <c r="E333" s="53"/>
      <c r="F333" s="53"/>
      <c r="G333" s="55"/>
      <c r="H333" s="160" t="s">
        <v>12</v>
      </c>
      <c r="I333" s="57"/>
      <c r="J333" s="57"/>
      <c r="K333" s="58"/>
      <c r="L333" s="161">
        <f t="shared" ref="L333:N333" ca="1" si="144">L334+L335</f>
        <v>4015000</v>
      </c>
      <c r="M333" s="161">
        <f t="shared" ca="1" si="144"/>
        <v>3026750</v>
      </c>
      <c r="N333" s="161">
        <f t="shared" ca="1" si="144"/>
        <v>1133685.17</v>
      </c>
      <c r="O333" s="161">
        <f t="shared" ref="O333:O341" ca="1" si="145">IF(L333&gt;0,N333*100/L333,0)</f>
        <v>28.236243337484435</v>
      </c>
      <c r="P333" s="161">
        <f t="shared" ref="P333:P341" ca="1" si="146">IF(M333&gt;0,N333*100/M333,0)</f>
        <v>37.455527215660361</v>
      </c>
    </row>
    <row r="334" spans="1:16" ht="18.75" x14ac:dyDescent="0.25">
      <c r="A334" s="157"/>
      <c r="B334" s="53"/>
      <c r="C334" s="53"/>
      <c r="D334" s="53"/>
      <c r="E334" s="60" t="s">
        <v>18</v>
      </c>
      <c r="F334" s="53"/>
      <c r="G334" s="55"/>
      <c r="H334" s="162" t="s">
        <v>12</v>
      </c>
      <c r="I334" s="57"/>
      <c r="J334" s="57"/>
      <c r="K334" s="58"/>
      <c r="L334" s="59">
        <f t="shared" ref="L334:N334" ca="1" si="147">L337+L340</f>
        <v>0</v>
      </c>
      <c r="M334" s="59">
        <f t="shared" ca="1" si="147"/>
        <v>0</v>
      </c>
      <c r="N334" s="59">
        <f t="shared" ca="1" si="147"/>
        <v>0</v>
      </c>
      <c r="O334" s="59">
        <f t="shared" ca="1" si="145"/>
        <v>0</v>
      </c>
      <c r="P334" s="59">
        <f t="shared" ca="1" si="146"/>
        <v>0</v>
      </c>
    </row>
    <row r="335" spans="1:16" ht="18.75" x14ac:dyDescent="0.25">
      <c r="A335" s="157"/>
      <c r="B335" s="53"/>
      <c r="C335" s="53"/>
      <c r="D335" s="53"/>
      <c r="E335" s="60" t="s">
        <v>19</v>
      </c>
      <c r="F335" s="53"/>
      <c r="G335" s="55"/>
      <c r="H335" s="162" t="s">
        <v>12</v>
      </c>
      <c r="I335" s="57"/>
      <c r="J335" s="57"/>
      <c r="K335" s="58"/>
      <c r="L335" s="59">
        <f t="shared" ref="L335:N335" ca="1" si="148">L338+L341</f>
        <v>4015000</v>
      </c>
      <c r="M335" s="59">
        <f t="shared" ca="1" si="148"/>
        <v>3026750</v>
      </c>
      <c r="N335" s="59">
        <f t="shared" ca="1" si="148"/>
        <v>1133685.17</v>
      </c>
      <c r="O335" s="59">
        <f t="shared" ca="1" si="145"/>
        <v>28.236243337484435</v>
      </c>
      <c r="P335" s="59">
        <f t="shared" ca="1" si="146"/>
        <v>37.455527215660361</v>
      </c>
    </row>
    <row r="336" spans="1:16" ht="18.75" x14ac:dyDescent="0.25">
      <c r="A336" s="157"/>
      <c r="B336" s="53"/>
      <c r="C336" s="53"/>
      <c r="D336" s="54" t="s">
        <v>20</v>
      </c>
      <c r="E336" s="53"/>
      <c r="F336" s="53"/>
      <c r="G336" s="55"/>
      <c r="H336" s="163" t="s">
        <v>12</v>
      </c>
      <c r="I336" s="164"/>
      <c r="J336" s="164"/>
      <c r="K336" s="165"/>
      <c r="L336" s="59">
        <f t="shared" ref="L336:N336" ca="1" si="149">L337+L338</f>
        <v>4015000</v>
      </c>
      <c r="M336" s="59">
        <f t="shared" ca="1" si="149"/>
        <v>3026750</v>
      </c>
      <c r="N336" s="59">
        <f t="shared" ca="1" si="149"/>
        <v>1133685.17</v>
      </c>
      <c r="O336" s="59">
        <f t="shared" ca="1" si="145"/>
        <v>28.236243337484435</v>
      </c>
      <c r="P336" s="59">
        <f t="shared" ca="1" si="146"/>
        <v>37.455527215660361</v>
      </c>
    </row>
    <row r="337" spans="1:16" ht="18.75" x14ac:dyDescent="0.25">
      <c r="A337" s="157"/>
      <c r="B337" s="53"/>
      <c r="C337" s="53"/>
      <c r="D337" s="53"/>
      <c r="E337" s="60" t="s">
        <v>34</v>
      </c>
      <c r="F337" s="53"/>
      <c r="G337" s="55"/>
      <c r="H337" s="163" t="s">
        <v>12</v>
      </c>
      <c r="I337" s="164"/>
      <c r="J337" s="164"/>
      <c r="K337" s="165"/>
      <c r="L337" s="59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59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59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59">
        <f t="shared" ca="1" si="145"/>
        <v>0</v>
      </c>
      <c r="P337" s="59">
        <f t="shared" ca="1" si="146"/>
        <v>0</v>
      </c>
    </row>
    <row r="338" spans="1:16" ht="18.75" x14ac:dyDescent="0.25">
      <c r="A338" s="157"/>
      <c r="B338" s="53"/>
      <c r="C338" s="53"/>
      <c r="D338" s="53"/>
      <c r="E338" s="60" t="s">
        <v>35</v>
      </c>
      <c r="F338" s="53"/>
      <c r="G338" s="55"/>
      <c r="H338" s="163" t="s">
        <v>12</v>
      </c>
      <c r="I338" s="164"/>
      <c r="J338" s="164"/>
      <c r="K338" s="165"/>
      <c r="L338" s="59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4015000)</f>
        <v>4015000</v>
      </c>
      <c r="M338" s="59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3026750)</f>
        <v>3026750</v>
      </c>
      <c r="N338" s="59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1133685.17)</f>
        <v>1133685.17</v>
      </c>
      <c r="O338" s="59">
        <f t="shared" ca="1" si="145"/>
        <v>28.236243337484435</v>
      </c>
      <c r="P338" s="59">
        <f t="shared" ca="1" si="146"/>
        <v>37.455527215660361</v>
      </c>
    </row>
    <row r="339" spans="1:16" ht="18.75" x14ac:dyDescent="0.25">
      <c r="A339" s="157"/>
      <c r="B339" s="53"/>
      <c r="C339" s="53"/>
      <c r="D339" s="54" t="s">
        <v>21</v>
      </c>
      <c r="E339" s="53"/>
      <c r="F339" s="53"/>
      <c r="G339" s="55"/>
      <c r="H339" s="166" t="s">
        <v>12</v>
      </c>
      <c r="I339" s="164"/>
      <c r="J339" s="164"/>
      <c r="K339" s="165"/>
      <c r="L339" s="59">
        <f t="shared" ref="L339:N339" ca="1" si="150">L340+L341</f>
        <v>0</v>
      </c>
      <c r="M339" s="59">
        <f t="shared" ca="1" si="150"/>
        <v>0</v>
      </c>
      <c r="N339" s="59">
        <f t="shared" ca="1" si="150"/>
        <v>0</v>
      </c>
      <c r="O339" s="59">
        <f t="shared" ca="1" si="145"/>
        <v>0</v>
      </c>
      <c r="P339" s="59">
        <f t="shared" ca="1" si="146"/>
        <v>0</v>
      </c>
    </row>
    <row r="340" spans="1:16" ht="18.75" x14ac:dyDescent="0.25">
      <c r="A340" s="157"/>
      <c r="B340" s="53"/>
      <c r="C340" s="53"/>
      <c r="D340" s="53"/>
      <c r="E340" s="60" t="s">
        <v>18</v>
      </c>
      <c r="F340" s="53"/>
      <c r="G340" s="55"/>
      <c r="H340" s="163" t="s">
        <v>12</v>
      </c>
      <c r="I340" s="164"/>
      <c r="J340" s="164"/>
      <c r="K340" s="165"/>
      <c r="L340" s="59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59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59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59">
        <f t="shared" ca="1" si="145"/>
        <v>0</v>
      </c>
      <c r="P340" s="59">
        <f t="shared" ca="1" si="146"/>
        <v>0</v>
      </c>
    </row>
    <row r="341" spans="1:16" ht="18.75" x14ac:dyDescent="0.25">
      <c r="A341" s="157"/>
      <c r="B341" s="53"/>
      <c r="C341" s="53"/>
      <c r="D341" s="53"/>
      <c r="E341" s="60" t="s">
        <v>19</v>
      </c>
      <c r="F341" s="53"/>
      <c r="G341" s="55"/>
      <c r="H341" s="166" t="s">
        <v>12</v>
      </c>
      <c r="I341" s="164"/>
      <c r="J341" s="164"/>
      <c r="K341" s="165"/>
      <c r="L341" s="59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59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59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59">
        <f t="shared" ca="1" si="145"/>
        <v>0</v>
      </c>
      <c r="P341" s="59">
        <f t="shared" ca="1" si="146"/>
        <v>0</v>
      </c>
    </row>
    <row r="342" spans="1:16" ht="19.5" x14ac:dyDescent="0.3">
      <c r="A342" s="167"/>
      <c r="B342" s="168"/>
      <c r="C342" s="158" t="s">
        <v>16</v>
      </c>
      <c r="D342" s="406" t="s">
        <v>36</v>
      </c>
      <c r="E342" s="170"/>
      <c r="F342" s="170"/>
      <c r="G342" s="170"/>
      <c r="H342" s="407"/>
      <c r="I342" s="408"/>
      <c r="J342" s="408"/>
      <c r="K342" s="409"/>
      <c r="L342" s="58"/>
      <c r="M342" s="58"/>
      <c r="N342" s="58"/>
      <c r="O342" s="165"/>
      <c r="P342" s="165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15105</v>
      </c>
      <c r="K343" s="417">
        <v>0</v>
      </c>
      <c r="L343" s="418"/>
      <c r="M343" s="418"/>
      <c r="N343" s="418"/>
      <c r="O343" s="418"/>
      <c r="P343" s="418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426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13085)</f>
        <v>13085</v>
      </c>
      <c r="K344" s="427">
        <f ca="1">IF(I344&gt;0,J344*100/I344,0)</f>
        <v>67.378990731204937</v>
      </c>
      <c r="L344" s="58"/>
      <c r="M344" s="58"/>
      <c r="N344" s="58"/>
      <c r="O344" s="58"/>
      <c r="P344" s="58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58"/>
      <c r="M345" s="58"/>
      <c r="N345" s="58"/>
      <c r="O345" s="58"/>
      <c r="P345" s="58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426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43)</f>
        <v>43</v>
      </c>
      <c r="K346" s="427">
        <f ca="1">IF(I346&gt;0,J346*100/I346,0)</f>
        <v>82.692307692307693</v>
      </c>
      <c r="L346" s="58"/>
      <c r="M346" s="58"/>
      <c r="N346" s="58"/>
      <c r="O346" s="58"/>
      <c r="P346" s="58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509)</f>
        <v>509</v>
      </c>
      <c r="K347" s="430"/>
      <c r="L347" s="58"/>
      <c r="M347" s="58"/>
      <c r="N347" s="58"/>
      <c r="O347" s="58"/>
      <c r="P347" s="58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1421)</f>
        <v>1421</v>
      </c>
      <c r="K348" s="430"/>
      <c r="L348" s="58"/>
      <c r="M348" s="58"/>
      <c r="N348" s="58"/>
      <c r="O348" s="58"/>
      <c r="P348" s="58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90)</f>
        <v>90</v>
      </c>
      <c r="K349" s="430"/>
      <c r="L349" s="58"/>
      <c r="M349" s="58"/>
      <c r="N349" s="58"/>
      <c r="O349" s="58"/>
      <c r="P349" s="58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58"/>
      <c r="M350" s="58"/>
      <c r="N350" s="58"/>
      <c r="O350" s="58"/>
      <c r="P350" s="58"/>
    </row>
    <row r="351" spans="1:16" ht="19.5" x14ac:dyDescent="0.3">
      <c r="A351" s="434"/>
      <c r="B351" s="435"/>
      <c r="C351" s="436"/>
      <c r="D351" s="435"/>
      <c r="E351" s="437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31755</v>
      </c>
      <c r="K351" s="441">
        <v>0</v>
      </c>
      <c r="L351" s="289"/>
      <c r="M351" s="289"/>
      <c r="N351" s="289"/>
      <c r="O351" s="289"/>
      <c r="P351" s="289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5639)</f>
        <v>5639</v>
      </c>
      <c r="K352" s="430"/>
      <c r="L352" s="58"/>
      <c r="M352" s="58"/>
      <c r="N352" s="58"/>
      <c r="O352" s="58"/>
      <c r="P352" s="58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26116)</f>
        <v>26116</v>
      </c>
      <c r="K353" s="430"/>
      <c r="L353" s="58"/>
      <c r="M353" s="58"/>
      <c r="N353" s="58"/>
      <c r="O353" s="58"/>
      <c r="P353" s="58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58"/>
      <c r="M354" s="58"/>
      <c r="N354" s="58"/>
      <c r="O354" s="58"/>
      <c r="P354" s="58"/>
    </row>
    <row r="355" spans="1:16" ht="19.5" x14ac:dyDescent="0.3">
      <c r="A355" s="392"/>
      <c r="B355" s="393" t="s">
        <v>141</v>
      </c>
      <c r="C355" s="402"/>
      <c r="D355" s="394"/>
      <c r="E355" s="394"/>
      <c r="F355" s="394"/>
      <c r="G355" s="395"/>
      <c r="H355" s="395"/>
      <c r="I355" s="443"/>
      <c r="J355" s="443"/>
      <c r="K355" s="399"/>
      <c r="L355" s="399"/>
      <c r="M355" s="399"/>
      <c r="N355" s="399"/>
      <c r="O355" s="399"/>
      <c r="P355" s="399"/>
    </row>
    <row r="356" spans="1:16" ht="19.5" x14ac:dyDescent="0.3">
      <c r="A356" s="157"/>
      <c r="B356" s="53"/>
      <c r="C356" s="158" t="s">
        <v>16</v>
      </c>
      <c r="D356" s="159" t="s">
        <v>17</v>
      </c>
      <c r="E356" s="53"/>
      <c r="F356" s="53"/>
      <c r="G356" s="55"/>
      <c r="H356" s="160" t="s">
        <v>12</v>
      </c>
      <c r="I356" s="57"/>
      <c r="J356" s="57"/>
      <c r="K356" s="58"/>
      <c r="L356" s="161">
        <f t="shared" ref="L356:N356" ca="1" si="151">L357+L358</f>
        <v>8038505</v>
      </c>
      <c r="M356" s="161">
        <f t="shared" ca="1" si="151"/>
        <v>6498895</v>
      </c>
      <c r="N356" s="161">
        <f t="shared" ca="1" si="151"/>
        <v>2044064.51</v>
      </c>
      <c r="O356" s="161">
        <f t="shared" ref="O356:O364" ca="1" si="152">IF(L356&gt;0,N356*100/L356,0)</f>
        <v>25.428416229137135</v>
      </c>
      <c r="P356" s="161">
        <f t="shared" ref="P356:P364" ca="1" si="153">IF(M356&gt;0,N356*100/M356,0)</f>
        <v>31.45249323154167</v>
      </c>
    </row>
    <row r="357" spans="1:16" ht="18.75" x14ac:dyDescent="0.25">
      <c r="A357" s="157"/>
      <c r="B357" s="53"/>
      <c r="C357" s="53"/>
      <c r="D357" s="53"/>
      <c r="E357" s="60" t="s">
        <v>18</v>
      </c>
      <c r="F357" s="53"/>
      <c r="G357" s="55"/>
      <c r="H357" s="162" t="s">
        <v>12</v>
      </c>
      <c r="I357" s="57"/>
      <c r="J357" s="57"/>
      <c r="K357" s="58"/>
      <c r="L357" s="59">
        <f t="shared" ref="L357:N357" ca="1" si="154">L360+L363</f>
        <v>0</v>
      </c>
      <c r="M357" s="59">
        <f t="shared" ca="1" si="154"/>
        <v>0</v>
      </c>
      <c r="N357" s="59">
        <f t="shared" ca="1" si="154"/>
        <v>0</v>
      </c>
      <c r="O357" s="59">
        <f t="shared" ca="1" si="152"/>
        <v>0</v>
      </c>
      <c r="P357" s="59">
        <f t="shared" ca="1" si="153"/>
        <v>0</v>
      </c>
    </row>
    <row r="358" spans="1:16" ht="18.75" x14ac:dyDescent="0.25">
      <c r="A358" s="157"/>
      <c r="B358" s="53"/>
      <c r="C358" s="53"/>
      <c r="D358" s="53"/>
      <c r="E358" s="60" t="s">
        <v>19</v>
      </c>
      <c r="F358" s="53"/>
      <c r="G358" s="55"/>
      <c r="H358" s="162" t="s">
        <v>12</v>
      </c>
      <c r="I358" s="57"/>
      <c r="J358" s="57"/>
      <c r="K358" s="58"/>
      <c r="L358" s="59">
        <f t="shared" ref="L358:N358" ca="1" si="155">L361+L364</f>
        <v>8038505</v>
      </c>
      <c r="M358" s="59">
        <f t="shared" ca="1" si="155"/>
        <v>6498895</v>
      </c>
      <c r="N358" s="59">
        <f t="shared" ca="1" si="155"/>
        <v>2044064.51</v>
      </c>
      <c r="O358" s="59">
        <f t="shared" ca="1" si="152"/>
        <v>25.428416229137135</v>
      </c>
      <c r="P358" s="59">
        <f t="shared" ca="1" si="153"/>
        <v>31.45249323154167</v>
      </c>
    </row>
    <row r="359" spans="1:16" ht="18.75" x14ac:dyDescent="0.25">
      <c r="A359" s="157"/>
      <c r="B359" s="53"/>
      <c r="C359" s="53"/>
      <c r="D359" s="54" t="s">
        <v>20</v>
      </c>
      <c r="E359" s="53"/>
      <c r="F359" s="53"/>
      <c r="G359" s="55"/>
      <c r="H359" s="163" t="s">
        <v>12</v>
      </c>
      <c r="I359" s="164"/>
      <c r="J359" s="164"/>
      <c r="K359" s="165"/>
      <c r="L359" s="59">
        <f t="shared" ref="L359:N359" ca="1" si="156">L360+L361</f>
        <v>8038505</v>
      </c>
      <c r="M359" s="59">
        <f t="shared" ca="1" si="156"/>
        <v>6498895</v>
      </c>
      <c r="N359" s="59">
        <f t="shared" ca="1" si="156"/>
        <v>2044064.51</v>
      </c>
      <c r="O359" s="59">
        <f t="shared" ca="1" si="152"/>
        <v>25.428416229137135</v>
      </c>
      <c r="P359" s="59">
        <f t="shared" ca="1" si="153"/>
        <v>31.45249323154167</v>
      </c>
    </row>
    <row r="360" spans="1:16" ht="18.75" x14ac:dyDescent="0.25">
      <c r="A360" s="157"/>
      <c r="B360" s="53"/>
      <c r="C360" s="53"/>
      <c r="D360" s="53"/>
      <c r="E360" s="60" t="s">
        <v>34</v>
      </c>
      <c r="F360" s="53"/>
      <c r="G360" s="55"/>
      <c r="H360" s="163" t="s">
        <v>12</v>
      </c>
      <c r="I360" s="164"/>
      <c r="J360" s="164"/>
      <c r="K360" s="165"/>
      <c r="L360" s="59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59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59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59">
        <f t="shared" ca="1" si="152"/>
        <v>0</v>
      </c>
      <c r="P360" s="59">
        <f t="shared" ca="1" si="153"/>
        <v>0</v>
      </c>
    </row>
    <row r="361" spans="1:16" ht="18.75" x14ac:dyDescent="0.25">
      <c r="A361" s="157"/>
      <c r="B361" s="53"/>
      <c r="C361" s="53"/>
      <c r="D361" s="53"/>
      <c r="E361" s="60" t="s">
        <v>35</v>
      </c>
      <c r="F361" s="53"/>
      <c r="G361" s="55"/>
      <c r="H361" s="163" t="s">
        <v>12</v>
      </c>
      <c r="I361" s="164"/>
      <c r="J361" s="164"/>
      <c r="K361" s="165"/>
      <c r="L361" s="59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8038505)</f>
        <v>8038505</v>
      </c>
      <c r="M361" s="59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6498895)</f>
        <v>6498895</v>
      </c>
      <c r="N361" s="59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2044064.51)</f>
        <v>2044064.51</v>
      </c>
      <c r="O361" s="59">
        <f t="shared" ca="1" si="152"/>
        <v>25.428416229137135</v>
      </c>
      <c r="P361" s="59">
        <f t="shared" ca="1" si="153"/>
        <v>31.45249323154167</v>
      </c>
    </row>
    <row r="362" spans="1:16" ht="18.75" x14ac:dyDescent="0.25">
      <c r="A362" s="157"/>
      <c r="B362" s="53"/>
      <c r="C362" s="53"/>
      <c r="D362" s="54" t="s">
        <v>21</v>
      </c>
      <c r="E362" s="53"/>
      <c r="F362" s="53"/>
      <c r="G362" s="55"/>
      <c r="H362" s="166" t="s">
        <v>12</v>
      </c>
      <c r="I362" s="164"/>
      <c r="J362" s="164"/>
      <c r="K362" s="165"/>
      <c r="L362" s="59">
        <f t="shared" ref="L362:N362" ca="1" si="157">L363+L364</f>
        <v>0</v>
      </c>
      <c r="M362" s="59">
        <f t="shared" ca="1" si="157"/>
        <v>0</v>
      </c>
      <c r="N362" s="59">
        <f t="shared" ca="1" si="157"/>
        <v>0</v>
      </c>
      <c r="O362" s="59">
        <f t="shared" ca="1" si="152"/>
        <v>0</v>
      </c>
      <c r="P362" s="59">
        <f t="shared" ca="1" si="153"/>
        <v>0</v>
      </c>
    </row>
    <row r="363" spans="1:16" ht="18.75" x14ac:dyDescent="0.25">
      <c r="A363" s="157"/>
      <c r="B363" s="53"/>
      <c r="C363" s="53"/>
      <c r="D363" s="53"/>
      <c r="E363" s="60" t="s">
        <v>18</v>
      </c>
      <c r="F363" s="53"/>
      <c r="G363" s="55"/>
      <c r="H363" s="163" t="s">
        <v>12</v>
      </c>
      <c r="I363" s="164"/>
      <c r="J363" s="164"/>
      <c r="K363" s="165"/>
      <c r="L363" s="59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59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59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59">
        <f t="shared" ca="1" si="152"/>
        <v>0</v>
      </c>
      <c r="P363" s="59">
        <f t="shared" ca="1" si="153"/>
        <v>0</v>
      </c>
    </row>
    <row r="364" spans="1:16" ht="18.75" x14ac:dyDescent="0.25">
      <c r="A364" s="157"/>
      <c r="B364" s="53"/>
      <c r="C364" s="53"/>
      <c r="D364" s="53"/>
      <c r="E364" s="60" t="s">
        <v>19</v>
      </c>
      <c r="F364" s="53"/>
      <c r="G364" s="55"/>
      <c r="H364" s="166" t="s">
        <v>12</v>
      </c>
      <c r="I364" s="164"/>
      <c r="J364" s="164"/>
      <c r="K364" s="165"/>
      <c r="L364" s="59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59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59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59">
        <f t="shared" ca="1" si="152"/>
        <v>0</v>
      </c>
      <c r="P364" s="59">
        <f t="shared" ca="1" si="153"/>
        <v>0</v>
      </c>
    </row>
    <row r="365" spans="1:16" ht="19.5" x14ac:dyDescent="0.3">
      <c r="A365" s="281"/>
      <c r="B365" s="282"/>
      <c r="C365" s="284"/>
      <c r="D365" s="444" t="s">
        <v>142</v>
      </c>
      <c r="E365" s="284"/>
      <c r="F365" s="284"/>
      <c r="G365" s="285"/>
      <c r="H365" s="445" t="s">
        <v>33</v>
      </c>
      <c r="I365" s="446">
        <f t="shared" ref="I365:J365" ca="1" si="158">I371</f>
        <v>1810</v>
      </c>
      <c r="J365" s="447">
        <f t="shared" ca="1" si="158"/>
        <v>451</v>
      </c>
      <c r="K365" s="448">
        <f ca="1">IF(I365&gt;0,J365*100/I365,0)</f>
        <v>24.917127071823206</v>
      </c>
      <c r="L365" s="289"/>
      <c r="M365" s="289"/>
      <c r="N365" s="289"/>
      <c r="O365" s="289"/>
      <c r="P365" s="289"/>
    </row>
    <row r="366" spans="1:16" ht="19.5" x14ac:dyDescent="0.3">
      <c r="A366" s="167"/>
      <c r="B366" s="168"/>
      <c r="C366" s="158" t="s">
        <v>16</v>
      </c>
      <c r="D366" s="169" t="s">
        <v>36</v>
      </c>
      <c r="E366" s="170"/>
      <c r="F366" s="170"/>
      <c r="G366" s="171"/>
      <c r="H366" s="172"/>
      <c r="I366" s="57"/>
      <c r="J366" s="57"/>
      <c r="K366" s="58"/>
      <c r="L366" s="165"/>
      <c r="M366" s="165"/>
      <c r="N366" s="165"/>
      <c r="O366" s="165"/>
      <c r="P366" s="165"/>
    </row>
    <row r="367" spans="1:16" ht="18.75" x14ac:dyDescent="0.25">
      <c r="A367" s="167"/>
      <c r="B367" s="174"/>
      <c r="C367" s="168"/>
      <c r="D367" s="174"/>
      <c r="E367" s="173" t="s">
        <v>143</v>
      </c>
      <c r="F367" s="174"/>
      <c r="G367" s="172"/>
      <c r="H367" s="185" t="s">
        <v>33</v>
      </c>
      <c r="I367" s="196">
        <v>0</v>
      </c>
      <c r="J367" s="182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542)</f>
        <v>542</v>
      </c>
      <c r="K367" s="59">
        <f t="shared" ref="K367:K372" si="159">IF(I367&gt;0,J367*100/I367,0)</f>
        <v>0</v>
      </c>
      <c r="L367" s="165"/>
      <c r="M367" s="165"/>
      <c r="N367" s="165"/>
      <c r="O367" s="165"/>
      <c r="P367" s="165"/>
    </row>
    <row r="368" spans="1:16" ht="18.75" x14ac:dyDescent="0.25">
      <c r="A368" s="167"/>
      <c r="B368" s="174"/>
      <c r="C368" s="168"/>
      <c r="D368" s="174"/>
      <c r="E368" s="174"/>
      <c r="F368" s="174"/>
      <c r="G368" s="172"/>
      <c r="H368" s="185" t="s">
        <v>44</v>
      </c>
      <c r="I368" s="182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17325)</f>
        <v>17325</v>
      </c>
      <c r="J368" s="182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6594.17)</f>
        <v>6594.17</v>
      </c>
      <c r="K368" s="59">
        <f t="shared" ca="1" si="159"/>
        <v>38.061587301587302</v>
      </c>
      <c r="L368" s="165"/>
      <c r="M368" s="165"/>
      <c r="N368" s="165"/>
      <c r="O368" s="165"/>
      <c r="P368" s="165"/>
    </row>
    <row r="369" spans="1:16" ht="18.75" x14ac:dyDescent="0.25">
      <c r="A369" s="167"/>
      <c r="B369" s="174"/>
      <c r="C369" s="168"/>
      <c r="D369" s="174"/>
      <c r="E369" s="173" t="s">
        <v>144</v>
      </c>
      <c r="F369" s="174"/>
      <c r="G369" s="172"/>
      <c r="H369" s="180" t="s">
        <v>33</v>
      </c>
      <c r="I369" s="182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2680)</f>
        <v>2680</v>
      </c>
      <c r="J369" s="182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697)</f>
        <v>697</v>
      </c>
      <c r="K369" s="59">
        <f t="shared" ca="1" si="159"/>
        <v>26.007462686567163</v>
      </c>
      <c r="L369" s="165"/>
      <c r="M369" s="165"/>
      <c r="N369" s="165"/>
      <c r="O369" s="165"/>
      <c r="P369" s="165"/>
    </row>
    <row r="370" spans="1:16" ht="18.75" x14ac:dyDescent="0.25">
      <c r="A370" s="167"/>
      <c r="B370" s="174"/>
      <c r="C370" s="168"/>
      <c r="D370" s="174"/>
      <c r="E370" s="174"/>
      <c r="F370" s="174"/>
      <c r="G370" s="172"/>
      <c r="H370" s="180" t="s">
        <v>44</v>
      </c>
      <c r="I370" s="196">
        <v>0</v>
      </c>
      <c r="J370" s="182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10343.15)</f>
        <v>10343.15</v>
      </c>
      <c r="K370" s="59">
        <f t="shared" si="159"/>
        <v>0</v>
      </c>
      <c r="L370" s="165"/>
      <c r="M370" s="165"/>
      <c r="N370" s="165"/>
      <c r="O370" s="165"/>
      <c r="P370" s="165"/>
    </row>
    <row r="371" spans="1:16" ht="18.75" x14ac:dyDescent="0.25">
      <c r="A371" s="167"/>
      <c r="B371" s="174"/>
      <c r="C371" s="168"/>
      <c r="D371" s="174"/>
      <c r="E371" s="449" t="s">
        <v>145</v>
      </c>
      <c r="F371" s="174"/>
      <c r="G371" s="172"/>
      <c r="H371" s="180" t="s">
        <v>33</v>
      </c>
      <c r="I371" s="182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1810)</f>
        <v>1810</v>
      </c>
      <c r="J371" s="182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451)</f>
        <v>451</v>
      </c>
      <c r="K371" s="59">
        <f t="shared" ca="1" si="159"/>
        <v>24.917127071823206</v>
      </c>
      <c r="L371" s="165"/>
      <c r="M371" s="165"/>
      <c r="N371" s="165"/>
      <c r="O371" s="165"/>
      <c r="P371" s="165"/>
    </row>
    <row r="372" spans="1:16" ht="18.75" x14ac:dyDescent="0.25">
      <c r="A372" s="450"/>
      <c r="B372" s="343"/>
      <c r="C372" s="341"/>
      <c r="D372" s="343"/>
      <c r="E372" s="343"/>
      <c r="F372" s="343"/>
      <c r="G372" s="344"/>
      <c r="H372" s="451" t="s">
        <v>44</v>
      </c>
      <c r="I372" s="345">
        <v>0</v>
      </c>
      <c r="J372" s="256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7108.77)</f>
        <v>7108.77</v>
      </c>
      <c r="K372" s="139">
        <f t="shared" si="159"/>
        <v>0</v>
      </c>
      <c r="L372" s="347"/>
      <c r="M372" s="347"/>
      <c r="N372" s="347"/>
      <c r="O372" s="347"/>
      <c r="P372" s="347"/>
    </row>
    <row r="373" spans="1:16" ht="19.5" x14ac:dyDescent="0.3">
      <c r="A373" s="452"/>
      <c r="B373" s="453"/>
      <c r="C373" s="454"/>
      <c r="D373" s="4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456"/>
      <c r="F373" s="456"/>
      <c r="G373" s="456"/>
      <c r="H373" s="457"/>
      <c r="I373" s="458"/>
      <c r="J373" s="458"/>
      <c r="K373" s="459"/>
      <c r="L373" s="459"/>
      <c r="M373" s="459"/>
      <c r="N373" s="459"/>
      <c r="O373" s="459"/>
      <c r="P373" s="459"/>
    </row>
    <row r="374" spans="1:16" ht="19.5" x14ac:dyDescent="0.3">
      <c r="A374" s="460" t="s">
        <v>146</v>
      </c>
      <c r="B374" s="461"/>
      <c r="C374" s="461"/>
      <c r="D374" s="461"/>
      <c r="E374" s="462"/>
      <c r="F374" s="462"/>
      <c r="G374" s="462"/>
      <c r="H374" s="462"/>
      <c r="I374" s="463"/>
      <c r="J374" s="463"/>
      <c r="K374" s="464"/>
      <c r="L374" s="464"/>
      <c r="M374" s="464"/>
      <c r="N374" s="464"/>
      <c r="O374" s="464"/>
      <c r="P374" s="465"/>
    </row>
    <row r="375" spans="1:16" ht="19.5" x14ac:dyDescent="0.3">
      <c r="A375" s="466" t="s">
        <v>147</v>
      </c>
      <c r="B375" s="467"/>
      <c r="C375" s="467"/>
      <c r="D375" s="468"/>
      <c r="E375" s="467"/>
      <c r="F375" s="467"/>
      <c r="G375" s="467"/>
      <c r="H375" s="469"/>
      <c r="I375" s="470"/>
      <c r="J375" s="470"/>
      <c r="K375" s="471"/>
      <c r="L375" s="471"/>
      <c r="M375" s="471"/>
      <c r="N375" s="471"/>
      <c r="O375" s="471"/>
      <c r="P375" s="471"/>
    </row>
    <row r="376" spans="1:16" ht="19.5" x14ac:dyDescent="0.3">
      <c r="A376" s="472"/>
      <c r="B376" s="473" t="s">
        <v>148</v>
      </c>
      <c r="C376" s="474"/>
      <c r="D376" s="475"/>
      <c r="E376" s="475"/>
      <c r="F376" s="475"/>
      <c r="G376" s="476"/>
      <c r="H376" s="477" t="s">
        <v>54</v>
      </c>
      <c r="I376" s="478">
        <f t="shared" ref="I376:J376" si="160">I388</f>
        <v>0</v>
      </c>
      <c r="J376" s="478">
        <f t="shared" si="160"/>
        <v>0</v>
      </c>
      <c r="K376" s="479">
        <f>IF(I376&gt;0,J376*100/I376,0)</f>
        <v>0</v>
      </c>
      <c r="L376" s="480"/>
      <c r="M376" s="480"/>
      <c r="N376" s="480"/>
      <c r="O376" s="480"/>
      <c r="P376" s="480"/>
    </row>
    <row r="377" spans="1:16" ht="19.5" x14ac:dyDescent="0.3">
      <c r="A377" s="157"/>
      <c r="B377" s="53"/>
      <c r="C377" s="158" t="s">
        <v>16</v>
      </c>
      <c r="D377" s="159" t="s">
        <v>17</v>
      </c>
      <c r="E377" s="53"/>
      <c r="F377" s="53"/>
      <c r="G377" s="55"/>
      <c r="H377" s="160" t="s">
        <v>12</v>
      </c>
      <c r="I377" s="57"/>
      <c r="J377" s="57"/>
      <c r="K377" s="58"/>
      <c r="L377" s="161">
        <f t="shared" ref="L377:N377" ca="1" si="161">L378+L379</f>
        <v>0</v>
      </c>
      <c r="M377" s="161">
        <f t="shared" ca="1" si="161"/>
        <v>0</v>
      </c>
      <c r="N377" s="161">
        <f t="shared" ca="1" si="161"/>
        <v>0</v>
      </c>
      <c r="O377" s="161">
        <f t="shared" ref="O377:O385" ca="1" si="162">IF(L377&gt;0,N377*100/L377,0)</f>
        <v>0</v>
      </c>
      <c r="P377" s="161">
        <f t="shared" ref="P377:P385" ca="1" si="163">IF(M377&gt;0,N377*100/M377,0)</f>
        <v>0</v>
      </c>
    </row>
    <row r="378" spans="1:16" ht="18.75" x14ac:dyDescent="0.25">
      <c r="A378" s="157"/>
      <c r="B378" s="53"/>
      <c r="C378" s="53"/>
      <c r="D378" s="53"/>
      <c r="E378" s="60" t="s">
        <v>18</v>
      </c>
      <c r="F378" s="53"/>
      <c r="G378" s="55"/>
      <c r="H378" s="162" t="s">
        <v>12</v>
      </c>
      <c r="I378" s="57"/>
      <c r="J378" s="57"/>
      <c r="K378" s="58"/>
      <c r="L378" s="59">
        <f t="shared" ref="L378:N378" ca="1" si="164">L381+L384</f>
        <v>0</v>
      </c>
      <c r="M378" s="59">
        <f t="shared" ca="1" si="164"/>
        <v>0</v>
      </c>
      <c r="N378" s="59">
        <f t="shared" ca="1" si="164"/>
        <v>0</v>
      </c>
      <c r="O378" s="59">
        <f t="shared" ca="1" si="162"/>
        <v>0</v>
      </c>
      <c r="P378" s="59">
        <f t="shared" ca="1" si="163"/>
        <v>0</v>
      </c>
    </row>
    <row r="379" spans="1:16" ht="18.75" x14ac:dyDescent="0.25">
      <c r="A379" s="157"/>
      <c r="B379" s="53"/>
      <c r="C379" s="53"/>
      <c r="D379" s="53"/>
      <c r="E379" s="60" t="s">
        <v>19</v>
      </c>
      <c r="F379" s="53"/>
      <c r="G379" s="55"/>
      <c r="H379" s="162" t="s">
        <v>12</v>
      </c>
      <c r="I379" s="57"/>
      <c r="J379" s="57"/>
      <c r="K379" s="58"/>
      <c r="L379" s="59">
        <f t="shared" ref="L379:N379" ca="1" si="165">L382+L385</f>
        <v>0</v>
      </c>
      <c r="M379" s="59">
        <f t="shared" ca="1" si="165"/>
        <v>0</v>
      </c>
      <c r="N379" s="59">
        <f t="shared" ca="1" si="165"/>
        <v>0</v>
      </c>
      <c r="O379" s="59">
        <f t="shared" ca="1" si="162"/>
        <v>0</v>
      </c>
      <c r="P379" s="59">
        <f t="shared" ca="1" si="163"/>
        <v>0</v>
      </c>
    </row>
    <row r="380" spans="1:16" ht="18.75" x14ac:dyDescent="0.25">
      <c r="A380" s="157"/>
      <c r="B380" s="53"/>
      <c r="C380" s="53"/>
      <c r="D380" s="54" t="s">
        <v>20</v>
      </c>
      <c r="E380" s="53"/>
      <c r="F380" s="53"/>
      <c r="G380" s="55"/>
      <c r="H380" s="163" t="s">
        <v>12</v>
      </c>
      <c r="I380" s="164"/>
      <c r="J380" s="164"/>
      <c r="K380" s="165"/>
      <c r="L380" s="59">
        <f t="shared" ref="L380:N380" ca="1" si="166">L381+L382</f>
        <v>0</v>
      </c>
      <c r="M380" s="59">
        <f t="shared" ca="1" si="166"/>
        <v>0</v>
      </c>
      <c r="N380" s="59">
        <f t="shared" ca="1" si="166"/>
        <v>0</v>
      </c>
      <c r="O380" s="59">
        <f t="shared" ca="1" si="162"/>
        <v>0</v>
      </c>
      <c r="P380" s="59">
        <f t="shared" ca="1" si="163"/>
        <v>0</v>
      </c>
    </row>
    <row r="381" spans="1:16" ht="18.75" x14ac:dyDescent="0.25">
      <c r="A381" s="157"/>
      <c r="B381" s="53"/>
      <c r="C381" s="53"/>
      <c r="D381" s="53"/>
      <c r="E381" s="60" t="s">
        <v>34</v>
      </c>
      <c r="F381" s="53"/>
      <c r="G381" s="55"/>
      <c r="H381" s="163" t="s">
        <v>12</v>
      </c>
      <c r="I381" s="164"/>
      <c r="J381" s="164"/>
      <c r="K381" s="165"/>
      <c r="L381" s="59">
        <f ca="1">IFERROR(__xludf.DUMMYFUNCTION("IMPORTRANGE(""https://docs.google.com/spreadsheets/d/13wPX838HrBrQMCywv1BsuMkt4PEKTChp52zj44s2izQ/edit?usp=sharing"",""กาญจนบุรี!L381"")+IMPORTRANGE(""https://docs.google.com/spreadsheets/d/1ddFKvqj1W1NEiWytbGlB1zMx_ykJDVtmfEQ-6-lIUBA/edit?usp=sharing"","&amp;"""จันทบุรี!L381"")+IMPORTRANGE(""https://docs.google.com/spreadsheets/d/1T1PQvRODqOBZk8BRht_U031fIS1beLA0Ub2CEytj2q0/edit?usp=sharing"",""ฉะเชิงเทรา!L381"")+IMPORTRANGE(""https://docs.google.com/spreadsheets/d/11tr1B-Bhyr79v2bkwVh5h_fR-PStkgjlZtkrZpYurG0/"&amp;"edit?usp=sharing"",""ชลบุรี!L381"")+IMPORTRANGE(""https://docs.google.com/spreadsheets/d/1hh-FVnSX0vozXhGluamEcS54Dw9_zqW0N7qJUWgJ0Sw/edit?usp=sharing"",""ชัยนาท!L381"")+IMPORTRANGE(""https://docs.google.com/spreadsheets/d/1jkqa6GXxSacMcY1eN8AHjMNJ_7dDXMJ"&amp;"VRLDlaFSOdPM/edit?usp=sharing"",""ตราด!L381"")+IMPORTRANGE(""https://docs.google.com/spreadsheets/d/18hSgUJ3VwClqi_qtULmmW3cLr0oe3OKaSYoKzdpTsYQ/edit?usp=sharing"",""นครนายก!L381"")+IMPORTRANGE(""https://docs.google.com/spreadsheets/d/1YTZo6WM2dQ6Ix6FSdnL"&amp;"5P7uVnVKu40sxZu975tgG10E/edit?usp=sharing"",""นครปฐม!L381"")+IMPORTRANGE(""https://docs.google.com/spreadsheets/d/1OYoGg4WDg5RIzwGeB10padOxJF9E_Vljuvvct_M7RDo/edit?usp=sharing"",""ปทุมธานี!L381"")+IMPORTRANGE(""https://docs.google.com/spreadsheets/d/1GbCI"&amp;"E4D4wk9FUozzqk7SxfDMxDVBwVmI5zcaVUSzKAc/edit?usp=sharing"",""ประจวบคีรีขันธ์!L381"")+IMPORTRANGE(""https://docs.google.com/spreadsheets/d/1vVf6wykvW_lAyu7Yo9L4hUTqHqIeP_qcVuxCtosJEbg/edit?usp=sharing"",""ปราจีนบุรี!L381"")+IMPORTRANGE(""https://docs.googl"&amp;"e.com/spreadsheets/d/1BIDqLLg5jk3v59G8NlR8rk5xfQDKne0sAvZHSj7TI6I/edit?usp=sharing"",""พระนครศรีอยุธยา!L381"")+IMPORTRANGE(""https://docs.google.com/spreadsheets/d/1YXvxf8Yu6_rV4hTBrwMqAcAnv6DfhUxh5emyM3CJp_w/edit?usp=sharing"",""เพชรบุรี!L381"")+IMPORTRA"&amp;"NGE(""https://docs.google.com/spreadsheets/d/19KBlQQs7uwvsao6t2n-KvW3Ax8J8uRRfZPq1zPbXgKc/edit?usp=sharing"",""ระยอง!L381"")+IMPORTRANGE(""https://docs.google.com/spreadsheets/d/1jQ6P4QcrGM89YfqcC_PxOHGCMq5ezhucwJd8ci-NHng/edit?usp=sharing"",""ราชบุรี!L38"&amp;"1"")+IMPORTRANGE(""https://docs.google.com/spreadsheets/d/1lufeA2cfFqM-elVq2hznhDzC6Pr7wkJ9ZG_sYNGCMCU/edit?usp=sharing"",""ลพบุรี!L381"")+IMPORTRANGE(""https://docs.google.com/spreadsheets/d/10oOiF7loTyfsTkbd4MpaIm0HQ9SwB7IYHdIUvt-U1Uc/edit?usp=sharing"""&amp;",""สระแก้ว!L381"")+IMPORTRANGE(""https://docs.google.com/spreadsheets/d/1xmPlrr1QbdSIKvl1dWUl9K4PjAfSL9oeMr_37QVzcxc/edit?usp=sharing"",""สระบุรี!L381"")+IMPORTRANGE(""https://docs.google.com/spreadsheets/d/1j51vR6CYVGhABJpv6tkstgok82RLpXieLzW1yOY5rHw/edi"&amp;"t?usp=sharing"",""สิงห์บุรี!L381"")+IMPORTRANGE(""https://docs.google.com/spreadsheets/d/1H1EalTWKUSzO4Z1-1CwzoDUaVffgrThEBe2sl74kKG0/edit?usp=sharing"",""สุพรรณบุรี!L381"")+IMPORTRANGE(""https://docs.google.com/spreadsheets/d/1BmIruG_sIrJLYao_Pdr7zVArWsf"&amp;"oBt2692TMi6x_854/edit?usp=sharing"",""อ่างทอง!L381"")"),0)</f>
        <v>0</v>
      </c>
      <c r="M381" s="59">
        <f ca="1">IFERROR(__xludf.DUMMYFUNCTION("IMPORTRANGE(""https://docs.google.com/spreadsheets/d/13wPX838HrBrQMCywv1BsuMkt4PEKTChp52zj44s2izQ/edit?usp=sharing"",""กาญจนบุรี!M381"")+IMPORTRANGE(""https://docs.google.com/spreadsheets/d/1ddFKvqj1W1NEiWytbGlB1zMx_ykJDVtmfEQ-6-lIUBA/edit?usp=sharing"","&amp;"""จันทบุรี!M381"")+IMPORTRANGE(""https://docs.google.com/spreadsheets/d/1T1PQvRODqOBZk8BRht_U031fIS1beLA0Ub2CEytj2q0/edit?usp=sharing"",""ฉะเชิงเทรา!M381"")+IMPORTRANGE(""https://docs.google.com/spreadsheets/d/11tr1B-Bhyr79v2bkwVh5h_fR-PStkgjlZtkrZpYurG0/"&amp;"edit?usp=sharing"",""ชลบุรี!M381"")+IMPORTRANGE(""https://docs.google.com/spreadsheets/d/1hh-FVnSX0vozXhGluamEcS54Dw9_zqW0N7qJUWgJ0Sw/edit?usp=sharing"",""ชัยนาท!M381"")+IMPORTRANGE(""https://docs.google.com/spreadsheets/d/1jkqa6GXxSacMcY1eN8AHjMNJ_7dDXMJ"&amp;"VRLDlaFSOdPM/edit?usp=sharing"",""ตราด!M381"")+IMPORTRANGE(""https://docs.google.com/spreadsheets/d/18hSgUJ3VwClqi_qtULmmW3cLr0oe3OKaSYoKzdpTsYQ/edit?usp=sharing"",""นครนายก!M381"")+IMPORTRANGE(""https://docs.google.com/spreadsheets/d/1YTZo6WM2dQ6Ix6FSdnL"&amp;"5P7uVnVKu40sxZu975tgG10E/edit?usp=sharing"",""นครปฐม!M381"")+IMPORTRANGE(""https://docs.google.com/spreadsheets/d/1OYoGg4WDg5RIzwGeB10padOxJF9E_Vljuvvct_M7RDo/edit?usp=sharing"",""ปทุมธานี!M381"")+IMPORTRANGE(""https://docs.google.com/spreadsheets/d/1GbCI"&amp;"E4D4wk9FUozzqk7SxfDMxDVBwVmI5zcaVUSzKAc/edit?usp=sharing"",""ประจวบคีรีขันธ์!M381"")+IMPORTRANGE(""https://docs.google.com/spreadsheets/d/1vVf6wykvW_lAyu7Yo9L4hUTqHqIeP_qcVuxCtosJEbg/edit?usp=sharing"",""ปราจีนบุรี!M381"")+IMPORTRANGE(""https://docs.googl"&amp;"e.com/spreadsheets/d/1BIDqLLg5jk3v59G8NlR8rk5xfQDKne0sAvZHSj7TI6I/edit?usp=sharing"",""พระนครศรีอยุธยา!M381"")+IMPORTRANGE(""https://docs.google.com/spreadsheets/d/1YXvxf8Yu6_rV4hTBrwMqAcAnv6DfhUxh5emyM3CJp_w/edit?usp=sharing"",""เพชรบุรี!M381"")+IMPORTRA"&amp;"NGE(""https://docs.google.com/spreadsheets/d/19KBlQQs7uwvsao6t2n-KvW3Ax8J8uRRfZPq1zPbXgKc/edit?usp=sharing"",""ระยอง!M381"")+IMPORTRANGE(""https://docs.google.com/spreadsheets/d/1jQ6P4QcrGM89YfqcC_PxOHGCMq5ezhucwJd8ci-NHng/edit?usp=sharing"",""ราชบุรี!M38"&amp;"1"")+IMPORTRANGE(""https://docs.google.com/spreadsheets/d/1lufeA2cfFqM-elVq2hznhDzC6Pr7wkJ9ZG_sYNGCMCU/edit?usp=sharing"",""ลพบุรี!M381"")+IMPORTRANGE(""https://docs.google.com/spreadsheets/d/10oOiF7loTyfsTkbd4MpaIm0HQ9SwB7IYHdIUvt-U1Uc/edit?usp=sharing"""&amp;",""สระแก้ว!M381"")+IMPORTRANGE(""https://docs.google.com/spreadsheets/d/1xmPlrr1QbdSIKvl1dWUl9K4PjAfSL9oeMr_37QVzcxc/edit?usp=sharing"",""สระบุรี!M381"")+IMPORTRANGE(""https://docs.google.com/spreadsheets/d/1j51vR6CYVGhABJpv6tkstgok82RLpXieLzW1yOY5rHw/edi"&amp;"t?usp=sharing"",""สิงห์บุรี!M381"")+IMPORTRANGE(""https://docs.google.com/spreadsheets/d/1H1EalTWKUSzO4Z1-1CwzoDUaVffgrThEBe2sl74kKG0/edit?usp=sharing"",""สุพรรณบุรี!M381"")+IMPORTRANGE(""https://docs.google.com/spreadsheets/d/1BmIruG_sIrJLYao_Pdr7zVArWsf"&amp;"oBt2692TMi6x_854/edit?usp=sharing"",""อ่างทอง!M381"")"),0)</f>
        <v>0</v>
      </c>
      <c r="N381" s="59">
        <f ca="1">IFERROR(__xludf.DUMMYFUNCTION("IMPORTRANGE(""https://docs.google.com/spreadsheets/d/13wPX838HrBrQMCywv1BsuMkt4PEKTChp52zj44s2izQ/edit?usp=sharing"",""กาญจนบุรี!N381"")+IMPORTRANGE(""https://docs.google.com/spreadsheets/d/1ddFKvqj1W1NEiWytbGlB1zMx_ykJDVtmfEQ-6-lIUBA/edit?usp=sharing"","&amp;"""จันทบุรี!N381"")+IMPORTRANGE(""https://docs.google.com/spreadsheets/d/1T1PQvRODqOBZk8BRht_U031fIS1beLA0Ub2CEytj2q0/edit?usp=sharing"",""ฉะเชิงเทรา!N381"")+IMPORTRANGE(""https://docs.google.com/spreadsheets/d/11tr1B-Bhyr79v2bkwVh5h_fR-PStkgjlZtkrZpYurG0/"&amp;"edit?usp=sharing"",""ชลบุรี!N381"")+IMPORTRANGE(""https://docs.google.com/spreadsheets/d/1hh-FVnSX0vozXhGluamEcS54Dw9_zqW0N7qJUWgJ0Sw/edit?usp=sharing"",""ชัยนาท!N381"")+IMPORTRANGE(""https://docs.google.com/spreadsheets/d/1jkqa6GXxSacMcY1eN8AHjMNJ_7dDXMJ"&amp;"VRLDlaFSOdPM/edit?usp=sharing"",""ตราด!N381"")+IMPORTRANGE(""https://docs.google.com/spreadsheets/d/18hSgUJ3VwClqi_qtULmmW3cLr0oe3OKaSYoKzdpTsYQ/edit?usp=sharing"",""นครนายก!N381"")+IMPORTRANGE(""https://docs.google.com/spreadsheets/d/1YTZo6WM2dQ6Ix6FSdnL"&amp;"5P7uVnVKu40sxZu975tgG10E/edit?usp=sharing"",""นครปฐม!N381"")+IMPORTRANGE(""https://docs.google.com/spreadsheets/d/1OYoGg4WDg5RIzwGeB10padOxJF9E_Vljuvvct_M7RDo/edit?usp=sharing"",""ปทุมธานี!N381"")+IMPORTRANGE(""https://docs.google.com/spreadsheets/d/1GbCI"&amp;"E4D4wk9FUozzqk7SxfDMxDVBwVmI5zcaVUSzKAc/edit?usp=sharing"",""ประจวบคีรีขันธ์!N381"")+IMPORTRANGE(""https://docs.google.com/spreadsheets/d/1vVf6wykvW_lAyu7Yo9L4hUTqHqIeP_qcVuxCtosJEbg/edit?usp=sharing"",""ปราจีนบุรี!N381"")+IMPORTRANGE(""https://docs.googl"&amp;"e.com/spreadsheets/d/1BIDqLLg5jk3v59G8NlR8rk5xfQDKne0sAvZHSj7TI6I/edit?usp=sharing"",""พระนครศรีอยุธยา!N381"")+IMPORTRANGE(""https://docs.google.com/spreadsheets/d/1YXvxf8Yu6_rV4hTBrwMqAcAnv6DfhUxh5emyM3CJp_w/edit?usp=sharing"",""เพชรบุรี!N381"")+IMPORTRA"&amp;"NGE(""https://docs.google.com/spreadsheets/d/19KBlQQs7uwvsao6t2n-KvW3Ax8J8uRRfZPq1zPbXgKc/edit?usp=sharing"",""ระยอง!N381"")+IMPORTRANGE(""https://docs.google.com/spreadsheets/d/1jQ6P4QcrGM89YfqcC_PxOHGCMq5ezhucwJd8ci-NHng/edit?usp=sharing"",""ราชบุรี!N38"&amp;"1"")+IMPORTRANGE(""https://docs.google.com/spreadsheets/d/1lufeA2cfFqM-elVq2hznhDzC6Pr7wkJ9ZG_sYNGCMCU/edit?usp=sharing"",""ลพบุรี!N381"")+IMPORTRANGE(""https://docs.google.com/spreadsheets/d/10oOiF7loTyfsTkbd4MpaIm0HQ9SwB7IYHdIUvt-U1Uc/edit?usp=sharing"""&amp;",""สระแก้ว!N381"")+IMPORTRANGE(""https://docs.google.com/spreadsheets/d/1xmPlrr1QbdSIKvl1dWUl9K4PjAfSL9oeMr_37QVzcxc/edit?usp=sharing"",""สระบุรี!N381"")+IMPORTRANGE(""https://docs.google.com/spreadsheets/d/1j51vR6CYVGhABJpv6tkstgok82RLpXieLzW1yOY5rHw/edi"&amp;"t?usp=sharing"",""สิงห์บุรี!N381"")+IMPORTRANGE(""https://docs.google.com/spreadsheets/d/1H1EalTWKUSzO4Z1-1CwzoDUaVffgrThEBe2sl74kKG0/edit?usp=sharing"",""สุพรรณบุรี!N381"")+IMPORTRANGE(""https://docs.google.com/spreadsheets/d/1BmIruG_sIrJLYao_Pdr7zVArWsf"&amp;"oBt2692TMi6x_854/edit?usp=sharing"",""อ่างทอง!N381"")"),0)</f>
        <v>0</v>
      </c>
      <c r="O381" s="59">
        <f t="shared" ca="1" si="162"/>
        <v>0</v>
      </c>
      <c r="P381" s="59">
        <f t="shared" ca="1" si="163"/>
        <v>0</v>
      </c>
    </row>
    <row r="382" spans="1:16" ht="18.75" x14ac:dyDescent="0.25">
      <c r="A382" s="157"/>
      <c r="B382" s="53"/>
      <c r="C382" s="53"/>
      <c r="D382" s="53"/>
      <c r="E382" s="60" t="s">
        <v>35</v>
      </c>
      <c r="F382" s="53"/>
      <c r="G382" s="55"/>
      <c r="H382" s="163" t="s">
        <v>12</v>
      </c>
      <c r="I382" s="164"/>
      <c r="J382" s="164"/>
      <c r="K382" s="165"/>
      <c r="L382" s="59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59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59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59">
        <f t="shared" ca="1" si="162"/>
        <v>0</v>
      </c>
      <c r="P382" s="59">
        <f t="shared" ca="1" si="163"/>
        <v>0</v>
      </c>
    </row>
    <row r="383" spans="1:16" ht="18.75" x14ac:dyDescent="0.25">
      <c r="A383" s="157"/>
      <c r="B383" s="53"/>
      <c r="C383" s="53"/>
      <c r="D383" s="54" t="s">
        <v>21</v>
      </c>
      <c r="E383" s="53"/>
      <c r="F383" s="53"/>
      <c r="G383" s="55"/>
      <c r="H383" s="166" t="s">
        <v>12</v>
      </c>
      <c r="I383" s="164"/>
      <c r="J383" s="164"/>
      <c r="K383" s="165"/>
      <c r="L383" s="59">
        <f t="shared" ref="L383:N383" ca="1" si="167">L384+L385</f>
        <v>0</v>
      </c>
      <c r="M383" s="59">
        <f t="shared" ca="1" si="167"/>
        <v>0</v>
      </c>
      <c r="N383" s="59">
        <f t="shared" ca="1" si="167"/>
        <v>0</v>
      </c>
      <c r="O383" s="59">
        <f t="shared" ca="1" si="162"/>
        <v>0</v>
      </c>
      <c r="P383" s="59">
        <f t="shared" ca="1" si="163"/>
        <v>0</v>
      </c>
    </row>
    <row r="384" spans="1:16" ht="18.75" x14ac:dyDescent="0.25">
      <c r="A384" s="157"/>
      <c r="B384" s="53"/>
      <c r="C384" s="53"/>
      <c r="D384" s="53"/>
      <c r="E384" s="60" t="s">
        <v>18</v>
      </c>
      <c r="F384" s="53"/>
      <c r="G384" s="55"/>
      <c r="H384" s="163" t="s">
        <v>12</v>
      </c>
      <c r="I384" s="164"/>
      <c r="J384" s="164"/>
      <c r="K384" s="165"/>
      <c r="L384" s="59">
        <f ca="1">IFERROR(__xludf.DUMMYFUNCTION("IMPORTRANGE(""https://docs.google.com/spreadsheets/d/13wPX838HrBrQMCywv1BsuMkt4PEKTChp52zj44s2izQ/edit?usp=sharing"",""กาญจนบุรี!L384"")+IMPORTRANGE(""https://docs.google.com/spreadsheets/d/1ddFKvqj1W1NEiWytbGlB1zMx_ykJDVtmfEQ-6-lIUBA/edit?usp=sharing"","&amp;"""จันทบุรี!L384"")+IMPORTRANGE(""https://docs.google.com/spreadsheets/d/1T1PQvRODqOBZk8BRht_U031fIS1beLA0Ub2CEytj2q0/edit?usp=sharing"",""ฉะเชิงเทรา!L384"")+IMPORTRANGE(""https://docs.google.com/spreadsheets/d/11tr1B-Bhyr79v2bkwVh5h_fR-PStkgjlZtkrZpYurG0/"&amp;"edit?usp=sharing"",""ชลบุรี!L384"")+IMPORTRANGE(""https://docs.google.com/spreadsheets/d/1hh-FVnSX0vozXhGluamEcS54Dw9_zqW0N7qJUWgJ0Sw/edit?usp=sharing"",""ชัยนาท!L384"")+IMPORTRANGE(""https://docs.google.com/spreadsheets/d/1jkqa6GXxSacMcY1eN8AHjMNJ_7dDXMJ"&amp;"VRLDlaFSOdPM/edit?usp=sharing"",""ตราด!L384"")+IMPORTRANGE(""https://docs.google.com/spreadsheets/d/18hSgUJ3VwClqi_qtULmmW3cLr0oe3OKaSYoKzdpTsYQ/edit?usp=sharing"",""นครนายก!L384"")+IMPORTRANGE(""https://docs.google.com/spreadsheets/d/1YTZo6WM2dQ6Ix6FSdnL"&amp;"5P7uVnVKu40sxZu975tgG10E/edit?usp=sharing"",""นครปฐม!L384"")+IMPORTRANGE(""https://docs.google.com/spreadsheets/d/1OYoGg4WDg5RIzwGeB10padOxJF9E_Vljuvvct_M7RDo/edit?usp=sharing"",""ปทุมธานี!L384"")+IMPORTRANGE(""https://docs.google.com/spreadsheets/d/1GbCI"&amp;"E4D4wk9FUozzqk7SxfDMxDVBwVmI5zcaVUSzKAc/edit?usp=sharing"",""ประจวบคีรีขันธ์!L384"")+IMPORTRANGE(""https://docs.google.com/spreadsheets/d/1vVf6wykvW_lAyu7Yo9L4hUTqHqIeP_qcVuxCtosJEbg/edit?usp=sharing"",""ปราจีนบุรี!L384"")+IMPORTRANGE(""https://docs.googl"&amp;"e.com/spreadsheets/d/1BIDqLLg5jk3v59G8NlR8rk5xfQDKne0sAvZHSj7TI6I/edit?usp=sharing"",""พระนครศรีอยุธยา!L384"")+IMPORTRANGE(""https://docs.google.com/spreadsheets/d/1YXvxf8Yu6_rV4hTBrwMqAcAnv6DfhUxh5emyM3CJp_w/edit?usp=sharing"",""เพชรบุรี!L384"")+IMPORTRA"&amp;"NGE(""https://docs.google.com/spreadsheets/d/19KBlQQs7uwvsao6t2n-KvW3Ax8J8uRRfZPq1zPbXgKc/edit?usp=sharing"",""ระยอง!L384"")+IMPORTRANGE(""https://docs.google.com/spreadsheets/d/1jQ6P4QcrGM89YfqcC_PxOHGCMq5ezhucwJd8ci-NHng/edit?usp=sharing"",""ราชบุรี!L38"&amp;"4"")+IMPORTRANGE(""https://docs.google.com/spreadsheets/d/1lufeA2cfFqM-elVq2hznhDzC6Pr7wkJ9ZG_sYNGCMCU/edit?usp=sharing"",""ลพบุรี!L384"")+IMPORTRANGE(""https://docs.google.com/spreadsheets/d/10oOiF7loTyfsTkbd4MpaIm0HQ9SwB7IYHdIUvt-U1Uc/edit?usp=sharing"""&amp;",""สระแก้ว!L384"")+IMPORTRANGE(""https://docs.google.com/spreadsheets/d/1xmPlrr1QbdSIKvl1dWUl9K4PjAfSL9oeMr_37QVzcxc/edit?usp=sharing"",""สระบุรี!L384"")+IMPORTRANGE(""https://docs.google.com/spreadsheets/d/1j51vR6CYVGhABJpv6tkstgok82RLpXieLzW1yOY5rHw/edi"&amp;"t?usp=sharing"",""สิงห์บุรี!L384"")+IMPORTRANGE(""https://docs.google.com/spreadsheets/d/1H1EalTWKUSzO4Z1-1CwzoDUaVffgrThEBe2sl74kKG0/edit?usp=sharing"",""สุพรรณบุรี!L384"")+IMPORTRANGE(""https://docs.google.com/spreadsheets/d/1BmIruG_sIrJLYao_Pdr7zVArWsf"&amp;"oBt2692TMi6x_854/edit?usp=sharing"",""อ่างทอง!L384"")"),0)</f>
        <v>0</v>
      </c>
      <c r="M384" s="59">
        <f ca="1">IFERROR(__xludf.DUMMYFUNCTION("IMPORTRANGE(""https://docs.google.com/spreadsheets/d/13wPX838HrBrQMCywv1BsuMkt4PEKTChp52zj44s2izQ/edit?usp=sharing"",""กาญจนบุรี!M384"")+IMPORTRANGE(""https://docs.google.com/spreadsheets/d/1ddFKvqj1W1NEiWytbGlB1zMx_ykJDVtmfEQ-6-lIUBA/edit?usp=sharing"","&amp;"""จันทบุรี!M384"")+IMPORTRANGE(""https://docs.google.com/spreadsheets/d/1T1PQvRODqOBZk8BRht_U031fIS1beLA0Ub2CEytj2q0/edit?usp=sharing"",""ฉะเชิงเทรา!M384"")+IMPORTRANGE(""https://docs.google.com/spreadsheets/d/11tr1B-Bhyr79v2bkwVh5h_fR-PStkgjlZtkrZpYurG0/"&amp;"edit?usp=sharing"",""ชลบุรี!M384"")+IMPORTRANGE(""https://docs.google.com/spreadsheets/d/1hh-FVnSX0vozXhGluamEcS54Dw9_zqW0N7qJUWgJ0Sw/edit?usp=sharing"",""ชัยนาท!M384"")+IMPORTRANGE(""https://docs.google.com/spreadsheets/d/1jkqa6GXxSacMcY1eN8AHjMNJ_7dDXMJ"&amp;"VRLDlaFSOdPM/edit?usp=sharing"",""ตราด!M384"")+IMPORTRANGE(""https://docs.google.com/spreadsheets/d/18hSgUJ3VwClqi_qtULmmW3cLr0oe3OKaSYoKzdpTsYQ/edit?usp=sharing"",""นครนายก!M384"")+IMPORTRANGE(""https://docs.google.com/spreadsheets/d/1YTZo6WM2dQ6Ix6FSdnL"&amp;"5P7uVnVKu40sxZu975tgG10E/edit?usp=sharing"",""นครปฐม!M384"")+IMPORTRANGE(""https://docs.google.com/spreadsheets/d/1OYoGg4WDg5RIzwGeB10padOxJF9E_Vljuvvct_M7RDo/edit?usp=sharing"",""ปทุมธานี!M384"")+IMPORTRANGE(""https://docs.google.com/spreadsheets/d/1GbCI"&amp;"E4D4wk9FUozzqk7SxfDMxDVBwVmI5zcaVUSzKAc/edit?usp=sharing"",""ประจวบคีรีขันธ์!M384"")+IMPORTRANGE(""https://docs.google.com/spreadsheets/d/1vVf6wykvW_lAyu7Yo9L4hUTqHqIeP_qcVuxCtosJEbg/edit?usp=sharing"",""ปราจีนบุรี!M384"")+IMPORTRANGE(""https://docs.googl"&amp;"e.com/spreadsheets/d/1BIDqLLg5jk3v59G8NlR8rk5xfQDKne0sAvZHSj7TI6I/edit?usp=sharing"",""พระนครศรีอยุธยา!M384"")+IMPORTRANGE(""https://docs.google.com/spreadsheets/d/1YXvxf8Yu6_rV4hTBrwMqAcAnv6DfhUxh5emyM3CJp_w/edit?usp=sharing"",""เพชรบุรี!M384"")+IMPORTRA"&amp;"NGE(""https://docs.google.com/spreadsheets/d/19KBlQQs7uwvsao6t2n-KvW3Ax8J8uRRfZPq1zPbXgKc/edit?usp=sharing"",""ระยอง!M384"")+IMPORTRANGE(""https://docs.google.com/spreadsheets/d/1jQ6P4QcrGM89YfqcC_PxOHGCMq5ezhucwJd8ci-NHng/edit?usp=sharing"",""ราชบุรี!M38"&amp;"4"")+IMPORTRANGE(""https://docs.google.com/spreadsheets/d/1lufeA2cfFqM-elVq2hznhDzC6Pr7wkJ9ZG_sYNGCMCU/edit?usp=sharing"",""ลพบุรี!M384"")+IMPORTRANGE(""https://docs.google.com/spreadsheets/d/10oOiF7loTyfsTkbd4MpaIm0HQ9SwB7IYHdIUvt-U1Uc/edit?usp=sharing"""&amp;",""สระแก้ว!M384"")+IMPORTRANGE(""https://docs.google.com/spreadsheets/d/1xmPlrr1QbdSIKvl1dWUl9K4PjAfSL9oeMr_37QVzcxc/edit?usp=sharing"",""สระบุรี!M384"")+IMPORTRANGE(""https://docs.google.com/spreadsheets/d/1j51vR6CYVGhABJpv6tkstgok82RLpXieLzW1yOY5rHw/edi"&amp;"t?usp=sharing"",""สิงห์บุรี!M384"")+IMPORTRANGE(""https://docs.google.com/spreadsheets/d/1H1EalTWKUSzO4Z1-1CwzoDUaVffgrThEBe2sl74kKG0/edit?usp=sharing"",""สุพรรณบุรี!M384"")+IMPORTRANGE(""https://docs.google.com/spreadsheets/d/1BmIruG_sIrJLYao_Pdr7zVArWsf"&amp;"oBt2692TMi6x_854/edit?usp=sharing"",""อ่างทอง!M384"")"),0)</f>
        <v>0</v>
      </c>
      <c r="N384" s="59">
        <f ca="1">IFERROR(__xludf.DUMMYFUNCTION("IMPORTRANGE(""https://docs.google.com/spreadsheets/d/13wPX838HrBrQMCywv1BsuMkt4PEKTChp52zj44s2izQ/edit?usp=sharing"",""กาญจนบุรี!N384"")+IMPORTRANGE(""https://docs.google.com/spreadsheets/d/1ddFKvqj1W1NEiWytbGlB1zMx_ykJDVtmfEQ-6-lIUBA/edit?usp=sharing"","&amp;"""จันทบุรี!N384"")+IMPORTRANGE(""https://docs.google.com/spreadsheets/d/1T1PQvRODqOBZk8BRht_U031fIS1beLA0Ub2CEytj2q0/edit?usp=sharing"",""ฉะเชิงเทรา!N384"")+IMPORTRANGE(""https://docs.google.com/spreadsheets/d/11tr1B-Bhyr79v2bkwVh5h_fR-PStkgjlZtkrZpYurG0/"&amp;"edit?usp=sharing"",""ชลบุรี!N384"")+IMPORTRANGE(""https://docs.google.com/spreadsheets/d/1hh-FVnSX0vozXhGluamEcS54Dw9_zqW0N7qJUWgJ0Sw/edit?usp=sharing"",""ชัยนาท!N384"")+IMPORTRANGE(""https://docs.google.com/spreadsheets/d/1jkqa6GXxSacMcY1eN8AHjMNJ_7dDXMJ"&amp;"VRLDlaFSOdPM/edit?usp=sharing"",""ตราด!N384"")+IMPORTRANGE(""https://docs.google.com/spreadsheets/d/18hSgUJ3VwClqi_qtULmmW3cLr0oe3OKaSYoKzdpTsYQ/edit?usp=sharing"",""นครนายก!N384"")+IMPORTRANGE(""https://docs.google.com/spreadsheets/d/1YTZo6WM2dQ6Ix6FSdnL"&amp;"5P7uVnVKu40sxZu975tgG10E/edit?usp=sharing"",""นครปฐม!N384"")+IMPORTRANGE(""https://docs.google.com/spreadsheets/d/1OYoGg4WDg5RIzwGeB10padOxJF9E_Vljuvvct_M7RDo/edit?usp=sharing"",""ปทุมธานี!N384"")+IMPORTRANGE(""https://docs.google.com/spreadsheets/d/1GbCI"&amp;"E4D4wk9FUozzqk7SxfDMxDVBwVmI5zcaVUSzKAc/edit?usp=sharing"",""ประจวบคีรีขันธ์!N384"")+IMPORTRANGE(""https://docs.google.com/spreadsheets/d/1vVf6wykvW_lAyu7Yo9L4hUTqHqIeP_qcVuxCtosJEbg/edit?usp=sharing"",""ปราจีนบุรี!N384"")+IMPORTRANGE(""https://docs.googl"&amp;"e.com/spreadsheets/d/1BIDqLLg5jk3v59G8NlR8rk5xfQDKne0sAvZHSj7TI6I/edit?usp=sharing"",""พระนครศรีอยุธยา!N384"")+IMPORTRANGE(""https://docs.google.com/spreadsheets/d/1YXvxf8Yu6_rV4hTBrwMqAcAnv6DfhUxh5emyM3CJp_w/edit?usp=sharing"",""เพชรบุรี!N384"")+IMPORTRA"&amp;"NGE(""https://docs.google.com/spreadsheets/d/19KBlQQs7uwvsao6t2n-KvW3Ax8J8uRRfZPq1zPbXgKc/edit?usp=sharing"",""ระยอง!N384"")+IMPORTRANGE(""https://docs.google.com/spreadsheets/d/1jQ6P4QcrGM89YfqcC_PxOHGCMq5ezhucwJd8ci-NHng/edit?usp=sharing"",""ราชบุรี!N38"&amp;"4"")+IMPORTRANGE(""https://docs.google.com/spreadsheets/d/1lufeA2cfFqM-elVq2hznhDzC6Pr7wkJ9ZG_sYNGCMCU/edit?usp=sharing"",""ลพบุรี!N384"")+IMPORTRANGE(""https://docs.google.com/spreadsheets/d/10oOiF7loTyfsTkbd4MpaIm0HQ9SwB7IYHdIUvt-U1Uc/edit?usp=sharing"""&amp;",""สระแก้ว!N384"")+IMPORTRANGE(""https://docs.google.com/spreadsheets/d/1xmPlrr1QbdSIKvl1dWUl9K4PjAfSL9oeMr_37QVzcxc/edit?usp=sharing"",""สระบุรี!N384"")+IMPORTRANGE(""https://docs.google.com/spreadsheets/d/1j51vR6CYVGhABJpv6tkstgok82RLpXieLzW1yOY5rHw/edi"&amp;"t?usp=sharing"",""สิงห์บุรี!N384"")+IMPORTRANGE(""https://docs.google.com/spreadsheets/d/1H1EalTWKUSzO4Z1-1CwzoDUaVffgrThEBe2sl74kKG0/edit?usp=sharing"",""สุพรรณบุรี!N384"")+IMPORTRANGE(""https://docs.google.com/spreadsheets/d/1BmIruG_sIrJLYao_Pdr7zVArWsf"&amp;"oBt2692TMi6x_854/edit?usp=sharing"",""อ่างทอง!N384"")"),0)</f>
        <v>0</v>
      </c>
      <c r="O384" s="59">
        <f t="shared" ca="1" si="162"/>
        <v>0</v>
      </c>
      <c r="P384" s="59">
        <f t="shared" ca="1" si="163"/>
        <v>0</v>
      </c>
    </row>
    <row r="385" spans="1:16" ht="18.75" x14ac:dyDescent="0.25">
      <c r="A385" s="157"/>
      <c r="B385" s="53"/>
      <c r="C385" s="53"/>
      <c r="D385" s="53"/>
      <c r="E385" s="60" t="s">
        <v>19</v>
      </c>
      <c r="F385" s="53"/>
      <c r="G385" s="55"/>
      <c r="H385" s="166" t="s">
        <v>12</v>
      </c>
      <c r="I385" s="164"/>
      <c r="J385" s="164"/>
      <c r="K385" s="165"/>
      <c r="L385" s="59">
        <f ca="1">IFERROR(__xludf.DUMMYFUNCTION("IMPORTRANGE(""https://docs.google.com/spreadsheets/d/13wPX838HrBrQMCywv1BsuMkt4PEKTChp52zj44s2izQ/edit?usp=sharing"",""กาญจนบุรี!L385"")+IMPORTRANGE(""https://docs.google.com/spreadsheets/d/1ddFKvqj1W1NEiWytbGlB1zMx_ykJDVtmfEQ-6-lIUBA/edit?usp=sharing"","&amp;"""จันทบุรี!L385"")+IMPORTRANGE(""https://docs.google.com/spreadsheets/d/1T1PQvRODqOBZk8BRht_U031fIS1beLA0Ub2CEytj2q0/edit?usp=sharing"",""ฉะเชิงเทรา!L385"")+IMPORTRANGE(""https://docs.google.com/spreadsheets/d/11tr1B-Bhyr79v2bkwVh5h_fR-PStkgjlZtkrZpYurG0/"&amp;"edit?usp=sharing"",""ชลบุรี!L385"")+IMPORTRANGE(""https://docs.google.com/spreadsheets/d/1hh-FVnSX0vozXhGluamEcS54Dw9_zqW0N7qJUWgJ0Sw/edit?usp=sharing"",""ชัยนาท!L385"")+IMPORTRANGE(""https://docs.google.com/spreadsheets/d/1jkqa6GXxSacMcY1eN8AHjMNJ_7dDXMJ"&amp;"VRLDlaFSOdPM/edit?usp=sharing"",""ตราด!L385"")+IMPORTRANGE(""https://docs.google.com/spreadsheets/d/18hSgUJ3VwClqi_qtULmmW3cLr0oe3OKaSYoKzdpTsYQ/edit?usp=sharing"",""นครนายก!L385"")+IMPORTRANGE(""https://docs.google.com/spreadsheets/d/1YTZo6WM2dQ6Ix6FSdnL"&amp;"5P7uVnVKu40sxZu975tgG10E/edit?usp=sharing"",""นครปฐม!L385"")+IMPORTRANGE(""https://docs.google.com/spreadsheets/d/1OYoGg4WDg5RIzwGeB10padOxJF9E_Vljuvvct_M7RDo/edit?usp=sharing"",""ปทุมธานี!L385"")+IMPORTRANGE(""https://docs.google.com/spreadsheets/d/1GbCI"&amp;"E4D4wk9FUozzqk7SxfDMxDVBwVmI5zcaVUSzKAc/edit?usp=sharing"",""ประจวบคีรีขันธ์!L385"")+IMPORTRANGE(""https://docs.google.com/spreadsheets/d/1vVf6wykvW_lAyu7Yo9L4hUTqHqIeP_qcVuxCtosJEbg/edit?usp=sharing"",""ปราจีนบุรี!L385"")+IMPORTRANGE(""https://docs.googl"&amp;"e.com/spreadsheets/d/1BIDqLLg5jk3v59G8NlR8rk5xfQDKne0sAvZHSj7TI6I/edit?usp=sharing"",""พระนครศรีอยุธยา!L385"")+IMPORTRANGE(""https://docs.google.com/spreadsheets/d/1YXvxf8Yu6_rV4hTBrwMqAcAnv6DfhUxh5emyM3CJp_w/edit?usp=sharing"",""เพชรบุรี!L385"")+IMPORTRA"&amp;"NGE(""https://docs.google.com/spreadsheets/d/19KBlQQs7uwvsao6t2n-KvW3Ax8J8uRRfZPq1zPbXgKc/edit?usp=sharing"",""ระยอง!L385"")+IMPORTRANGE(""https://docs.google.com/spreadsheets/d/1jQ6P4QcrGM89YfqcC_PxOHGCMq5ezhucwJd8ci-NHng/edit?usp=sharing"",""ราชบุรี!L38"&amp;"5"")+IMPORTRANGE(""https://docs.google.com/spreadsheets/d/1lufeA2cfFqM-elVq2hznhDzC6Pr7wkJ9ZG_sYNGCMCU/edit?usp=sharing"",""ลพบุรี!L385"")+IMPORTRANGE(""https://docs.google.com/spreadsheets/d/10oOiF7loTyfsTkbd4MpaIm0HQ9SwB7IYHdIUvt-U1Uc/edit?usp=sharing"""&amp;",""สระแก้ว!L385"")+IMPORTRANGE(""https://docs.google.com/spreadsheets/d/1xmPlrr1QbdSIKvl1dWUl9K4PjAfSL9oeMr_37QVzcxc/edit?usp=sharing"",""สระบุรี!L385"")+IMPORTRANGE(""https://docs.google.com/spreadsheets/d/1j51vR6CYVGhABJpv6tkstgok82RLpXieLzW1yOY5rHw/edi"&amp;"t?usp=sharing"",""สิงห์บุรี!L385"")+IMPORTRANGE(""https://docs.google.com/spreadsheets/d/1H1EalTWKUSzO4Z1-1CwzoDUaVffgrThEBe2sl74kKG0/edit?usp=sharing"",""สุพรรณบุรี!L385"")+IMPORTRANGE(""https://docs.google.com/spreadsheets/d/1BmIruG_sIrJLYao_Pdr7zVArWsf"&amp;"oBt2692TMi6x_854/edit?usp=sharing"",""อ่างทอง!L385"")"),0)</f>
        <v>0</v>
      </c>
      <c r="M385" s="59">
        <f ca="1">IFERROR(__xludf.DUMMYFUNCTION("IMPORTRANGE(""https://docs.google.com/spreadsheets/d/13wPX838HrBrQMCywv1BsuMkt4PEKTChp52zj44s2izQ/edit?usp=sharing"",""กาญจนบุรี!M385"")+IMPORTRANGE(""https://docs.google.com/spreadsheets/d/1ddFKvqj1W1NEiWytbGlB1zMx_ykJDVtmfEQ-6-lIUBA/edit?usp=sharing"","&amp;"""จันทบุรี!M385"")+IMPORTRANGE(""https://docs.google.com/spreadsheets/d/1T1PQvRODqOBZk8BRht_U031fIS1beLA0Ub2CEytj2q0/edit?usp=sharing"",""ฉะเชิงเทรา!M385"")+IMPORTRANGE(""https://docs.google.com/spreadsheets/d/11tr1B-Bhyr79v2bkwVh5h_fR-PStkgjlZtkrZpYurG0/"&amp;"edit?usp=sharing"",""ชลบุรี!M385"")+IMPORTRANGE(""https://docs.google.com/spreadsheets/d/1hh-FVnSX0vozXhGluamEcS54Dw9_zqW0N7qJUWgJ0Sw/edit?usp=sharing"",""ชัยนาท!M385"")+IMPORTRANGE(""https://docs.google.com/spreadsheets/d/1jkqa6GXxSacMcY1eN8AHjMNJ_7dDXMJ"&amp;"VRLDlaFSOdPM/edit?usp=sharing"",""ตราด!M385"")+IMPORTRANGE(""https://docs.google.com/spreadsheets/d/18hSgUJ3VwClqi_qtULmmW3cLr0oe3OKaSYoKzdpTsYQ/edit?usp=sharing"",""นครนายก!M385"")+IMPORTRANGE(""https://docs.google.com/spreadsheets/d/1YTZo6WM2dQ6Ix6FSdnL"&amp;"5P7uVnVKu40sxZu975tgG10E/edit?usp=sharing"",""นครปฐม!M385"")+IMPORTRANGE(""https://docs.google.com/spreadsheets/d/1OYoGg4WDg5RIzwGeB10padOxJF9E_Vljuvvct_M7RDo/edit?usp=sharing"",""ปทุมธานี!M385"")+IMPORTRANGE(""https://docs.google.com/spreadsheets/d/1GbCI"&amp;"E4D4wk9FUozzqk7SxfDMxDVBwVmI5zcaVUSzKAc/edit?usp=sharing"",""ประจวบคีรีขันธ์!M385"")+IMPORTRANGE(""https://docs.google.com/spreadsheets/d/1vVf6wykvW_lAyu7Yo9L4hUTqHqIeP_qcVuxCtosJEbg/edit?usp=sharing"",""ปราจีนบุรี!M385"")+IMPORTRANGE(""https://docs.googl"&amp;"e.com/spreadsheets/d/1BIDqLLg5jk3v59G8NlR8rk5xfQDKne0sAvZHSj7TI6I/edit?usp=sharing"",""พระนครศรีอยุธยา!M385"")+IMPORTRANGE(""https://docs.google.com/spreadsheets/d/1YXvxf8Yu6_rV4hTBrwMqAcAnv6DfhUxh5emyM3CJp_w/edit?usp=sharing"",""เพชรบุรี!M385"")+IMPORTRA"&amp;"NGE(""https://docs.google.com/spreadsheets/d/19KBlQQs7uwvsao6t2n-KvW3Ax8J8uRRfZPq1zPbXgKc/edit?usp=sharing"",""ระยอง!M385"")+IMPORTRANGE(""https://docs.google.com/spreadsheets/d/1jQ6P4QcrGM89YfqcC_PxOHGCMq5ezhucwJd8ci-NHng/edit?usp=sharing"",""ราชบุรี!M38"&amp;"5"")+IMPORTRANGE(""https://docs.google.com/spreadsheets/d/1lufeA2cfFqM-elVq2hznhDzC6Pr7wkJ9ZG_sYNGCMCU/edit?usp=sharing"",""ลพบุรี!M385"")+IMPORTRANGE(""https://docs.google.com/spreadsheets/d/10oOiF7loTyfsTkbd4MpaIm0HQ9SwB7IYHdIUvt-U1Uc/edit?usp=sharing"""&amp;",""สระแก้ว!M385"")+IMPORTRANGE(""https://docs.google.com/spreadsheets/d/1xmPlrr1QbdSIKvl1dWUl9K4PjAfSL9oeMr_37QVzcxc/edit?usp=sharing"",""สระบุรี!M385"")+IMPORTRANGE(""https://docs.google.com/spreadsheets/d/1j51vR6CYVGhABJpv6tkstgok82RLpXieLzW1yOY5rHw/edi"&amp;"t?usp=sharing"",""สิงห์บุรี!M385"")+IMPORTRANGE(""https://docs.google.com/spreadsheets/d/1H1EalTWKUSzO4Z1-1CwzoDUaVffgrThEBe2sl74kKG0/edit?usp=sharing"",""สุพรรณบุรี!M385"")+IMPORTRANGE(""https://docs.google.com/spreadsheets/d/1BmIruG_sIrJLYao_Pdr7zVArWsf"&amp;"oBt2692TMi6x_854/edit?usp=sharing"",""อ่างทอง!M385"")"),0)</f>
        <v>0</v>
      </c>
      <c r="N385" s="59">
        <f ca="1">IFERROR(__xludf.DUMMYFUNCTION("IMPORTRANGE(""https://docs.google.com/spreadsheets/d/13wPX838HrBrQMCywv1BsuMkt4PEKTChp52zj44s2izQ/edit?usp=sharing"",""กาญจนบุรี!N385"")+IMPORTRANGE(""https://docs.google.com/spreadsheets/d/1ddFKvqj1W1NEiWytbGlB1zMx_ykJDVtmfEQ-6-lIUBA/edit?usp=sharing"","&amp;"""จันทบุรี!N385"")+IMPORTRANGE(""https://docs.google.com/spreadsheets/d/1T1PQvRODqOBZk8BRht_U031fIS1beLA0Ub2CEytj2q0/edit?usp=sharing"",""ฉะเชิงเทรา!N385"")+IMPORTRANGE(""https://docs.google.com/spreadsheets/d/11tr1B-Bhyr79v2bkwVh5h_fR-PStkgjlZtkrZpYurG0/"&amp;"edit?usp=sharing"",""ชลบุรี!N385"")+IMPORTRANGE(""https://docs.google.com/spreadsheets/d/1hh-FVnSX0vozXhGluamEcS54Dw9_zqW0N7qJUWgJ0Sw/edit?usp=sharing"",""ชัยนาท!N385"")+IMPORTRANGE(""https://docs.google.com/spreadsheets/d/1jkqa6GXxSacMcY1eN8AHjMNJ_7dDXMJ"&amp;"VRLDlaFSOdPM/edit?usp=sharing"",""ตราด!N385"")+IMPORTRANGE(""https://docs.google.com/spreadsheets/d/18hSgUJ3VwClqi_qtULmmW3cLr0oe3OKaSYoKzdpTsYQ/edit?usp=sharing"",""นครนายก!N385"")+IMPORTRANGE(""https://docs.google.com/spreadsheets/d/1YTZo6WM2dQ6Ix6FSdnL"&amp;"5P7uVnVKu40sxZu975tgG10E/edit?usp=sharing"",""นครปฐม!N385"")+IMPORTRANGE(""https://docs.google.com/spreadsheets/d/1OYoGg4WDg5RIzwGeB10padOxJF9E_Vljuvvct_M7RDo/edit?usp=sharing"",""ปทุมธานี!N385"")+IMPORTRANGE(""https://docs.google.com/spreadsheets/d/1GbCI"&amp;"E4D4wk9FUozzqk7SxfDMxDVBwVmI5zcaVUSzKAc/edit?usp=sharing"",""ประจวบคีรีขันธ์!N385"")+IMPORTRANGE(""https://docs.google.com/spreadsheets/d/1vVf6wykvW_lAyu7Yo9L4hUTqHqIeP_qcVuxCtosJEbg/edit?usp=sharing"",""ปราจีนบุรี!N385"")+IMPORTRANGE(""https://docs.googl"&amp;"e.com/spreadsheets/d/1BIDqLLg5jk3v59G8NlR8rk5xfQDKne0sAvZHSj7TI6I/edit?usp=sharing"",""พระนครศรีอยุธยา!N385"")+IMPORTRANGE(""https://docs.google.com/spreadsheets/d/1YXvxf8Yu6_rV4hTBrwMqAcAnv6DfhUxh5emyM3CJp_w/edit?usp=sharing"",""เพชรบุรี!N385"")+IMPORTRA"&amp;"NGE(""https://docs.google.com/spreadsheets/d/19KBlQQs7uwvsao6t2n-KvW3Ax8J8uRRfZPq1zPbXgKc/edit?usp=sharing"",""ระยอง!N385"")+IMPORTRANGE(""https://docs.google.com/spreadsheets/d/1jQ6P4QcrGM89YfqcC_PxOHGCMq5ezhucwJd8ci-NHng/edit?usp=sharing"",""ราชบุรี!N38"&amp;"5"")+IMPORTRANGE(""https://docs.google.com/spreadsheets/d/1lufeA2cfFqM-elVq2hznhDzC6Pr7wkJ9ZG_sYNGCMCU/edit?usp=sharing"",""ลพบุรี!N385"")+IMPORTRANGE(""https://docs.google.com/spreadsheets/d/10oOiF7loTyfsTkbd4MpaIm0HQ9SwB7IYHdIUvt-U1Uc/edit?usp=sharing"""&amp;",""สระแก้ว!N385"")+IMPORTRANGE(""https://docs.google.com/spreadsheets/d/1xmPlrr1QbdSIKvl1dWUl9K4PjAfSL9oeMr_37QVzcxc/edit?usp=sharing"",""สระบุรี!N385"")+IMPORTRANGE(""https://docs.google.com/spreadsheets/d/1j51vR6CYVGhABJpv6tkstgok82RLpXieLzW1yOY5rHw/edi"&amp;"t?usp=sharing"",""สิงห์บุรี!N385"")+IMPORTRANGE(""https://docs.google.com/spreadsheets/d/1H1EalTWKUSzO4Z1-1CwzoDUaVffgrThEBe2sl74kKG0/edit?usp=sharing"",""สุพรรณบุรี!N385"")+IMPORTRANGE(""https://docs.google.com/spreadsheets/d/1BmIruG_sIrJLYao_Pdr7zVArWsf"&amp;"oBt2692TMi6x_854/edit?usp=sharing"",""อ่างทอง!N385"")"),0)</f>
        <v>0</v>
      </c>
      <c r="O385" s="59">
        <f t="shared" ca="1" si="162"/>
        <v>0</v>
      </c>
      <c r="P385" s="59">
        <f t="shared" ca="1" si="163"/>
        <v>0</v>
      </c>
    </row>
    <row r="386" spans="1:16" ht="19.5" x14ac:dyDescent="0.3">
      <c r="A386" s="167"/>
      <c r="B386" s="168"/>
      <c r="C386" s="158" t="s">
        <v>16</v>
      </c>
      <c r="D386" s="169" t="s">
        <v>36</v>
      </c>
      <c r="E386" s="170"/>
      <c r="F386" s="170"/>
      <c r="G386" s="171"/>
      <c r="H386" s="172"/>
      <c r="I386" s="164"/>
      <c r="J386" s="57"/>
      <c r="K386" s="58"/>
      <c r="L386" s="58"/>
      <c r="M386" s="58"/>
      <c r="N386" s="58"/>
      <c r="O386" s="165"/>
      <c r="P386" s="165"/>
    </row>
    <row r="387" spans="1:16" ht="18.75" x14ac:dyDescent="0.25">
      <c r="A387" s="276"/>
      <c r="B387" s="53"/>
      <c r="C387" s="280"/>
      <c r="D387" s="195" t="s">
        <v>149</v>
      </c>
      <c r="E387" s="168"/>
      <c r="F387" s="53"/>
      <c r="G387" s="55"/>
      <c r="H387" s="279" t="s">
        <v>9</v>
      </c>
      <c r="I387" s="196">
        <v>0</v>
      </c>
      <c r="J387" s="196">
        <v>0</v>
      </c>
      <c r="K387" s="59">
        <f t="shared" ref="K387:K388" si="168">IF(I387&gt;0,J387*100/I387,0)</f>
        <v>0</v>
      </c>
      <c r="L387" s="58"/>
      <c r="M387" s="58"/>
      <c r="N387" s="58"/>
      <c r="O387" s="58"/>
      <c r="P387" s="58"/>
    </row>
    <row r="388" spans="1:16" ht="18.75" x14ac:dyDescent="0.25">
      <c r="A388" s="481"/>
      <c r="B388" s="71"/>
      <c r="C388" s="482"/>
      <c r="D388" s="483" t="s">
        <v>150</v>
      </c>
      <c r="E388" s="484"/>
      <c r="F388" s="71"/>
      <c r="G388" s="73"/>
      <c r="H388" s="485" t="s">
        <v>54</v>
      </c>
      <c r="I388" s="486">
        <v>0</v>
      </c>
      <c r="J388" s="486">
        <v>0</v>
      </c>
      <c r="K388" s="77">
        <f t="shared" si="168"/>
        <v>0</v>
      </c>
      <c r="L388" s="76"/>
      <c r="M388" s="76"/>
      <c r="N388" s="76"/>
      <c r="O388" s="76"/>
      <c r="P388" s="76"/>
    </row>
    <row r="389" spans="1:16" ht="12.75" x14ac:dyDescent="0.2">
      <c r="A389" s="487"/>
      <c r="B389" s="487"/>
      <c r="C389" s="487"/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7"/>
      <c r="P389" s="487"/>
    </row>
    <row r="390" spans="1:16" ht="16.5" x14ac:dyDescent="0.25">
      <c r="A390" s="488" t="s">
        <v>151</v>
      </c>
      <c r="B390" s="487"/>
      <c r="C390" s="487"/>
      <c r="D390" s="487"/>
      <c r="E390" s="487"/>
      <c r="F390" s="487"/>
      <c r="G390" s="487"/>
      <c r="H390" s="487"/>
      <c r="I390" s="487"/>
      <c r="J390" s="487"/>
      <c r="K390" s="487"/>
      <c r="L390" s="487"/>
      <c r="M390" s="487"/>
      <c r="N390" s="487"/>
      <c r="O390" s="487"/>
      <c r="P390" s="487"/>
    </row>
    <row r="391" spans="1:16" ht="16.5" x14ac:dyDescent="0.25">
      <c r="A391" s="4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487"/>
      <c r="C391" s="487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7"/>
      <c r="P391" s="487"/>
    </row>
    <row r="392" spans="1:16" ht="12.75" x14ac:dyDescent="0.2">
      <c r="A392" s="487"/>
      <c r="B392" s="487"/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</row>
    <row r="393" spans="1:16" ht="12.75" x14ac:dyDescent="0.2">
      <c r="A393" s="487"/>
      <c r="B393" s="487"/>
      <c r="C393" s="487"/>
      <c r="D393" s="487"/>
      <c r="E393" s="487"/>
      <c r="F393" s="487"/>
      <c r="G393" s="487"/>
      <c r="H393" s="487"/>
      <c r="I393" s="487"/>
      <c r="J393" s="487"/>
      <c r="K393" s="487"/>
      <c r="L393" s="487"/>
      <c r="M393" s="487"/>
      <c r="N393" s="487"/>
      <c r="O393" s="487"/>
      <c r="P393" s="487"/>
    </row>
    <row r="394" spans="1:16" ht="12.75" x14ac:dyDescent="0.2">
      <c r="A394" s="487"/>
      <c r="B394" s="487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487"/>
    </row>
    <row r="395" spans="1:16" ht="12.75" x14ac:dyDescent="0.2">
      <c r="A395" s="487"/>
      <c r="B395" s="487"/>
      <c r="C395" s="487"/>
      <c r="D395" s="487"/>
      <c r="E395" s="487"/>
      <c r="F395" s="487"/>
      <c r="G395" s="487"/>
      <c r="H395" s="487"/>
      <c r="I395" s="487"/>
      <c r="J395" s="487"/>
      <c r="K395" s="487"/>
      <c r="L395" s="487"/>
      <c r="M395" s="487"/>
      <c r="N395" s="487"/>
      <c r="O395" s="487"/>
      <c r="P395" s="487"/>
    </row>
    <row r="396" spans="1:16" ht="12.75" x14ac:dyDescent="0.2">
      <c r="A396" s="487"/>
      <c r="B396" s="487"/>
      <c r="C396" s="487"/>
      <c r="D396" s="487"/>
      <c r="E396" s="487"/>
      <c r="F396" s="487"/>
      <c r="G396" s="487"/>
      <c r="H396" s="487"/>
      <c r="I396" s="487"/>
      <c r="J396" s="487"/>
      <c r="K396" s="487"/>
      <c r="L396" s="487"/>
      <c r="M396" s="487"/>
      <c r="N396" s="487"/>
      <c r="O396" s="487"/>
      <c r="P396" s="487"/>
    </row>
    <row r="397" spans="1:16" ht="12.75" x14ac:dyDescent="0.2">
      <c r="A397" s="487"/>
      <c r="B397" s="487"/>
      <c r="C397" s="487"/>
      <c r="D397" s="487"/>
      <c r="E397" s="487"/>
      <c r="F397" s="487"/>
      <c r="G397" s="487"/>
      <c r="H397" s="487"/>
      <c r="I397" s="487"/>
      <c r="J397" s="487"/>
      <c r="K397" s="487"/>
      <c r="L397" s="487"/>
      <c r="M397" s="487"/>
      <c r="N397" s="487"/>
      <c r="O397" s="487"/>
      <c r="P397" s="487"/>
    </row>
    <row r="398" spans="1:16" ht="12.75" x14ac:dyDescent="0.2">
      <c r="A398" s="487"/>
      <c r="B398" s="487"/>
      <c r="C398" s="487"/>
      <c r="D398" s="487"/>
      <c r="E398" s="487"/>
      <c r="F398" s="487"/>
      <c r="G398" s="487"/>
      <c r="H398" s="487"/>
      <c r="I398" s="487"/>
      <c r="J398" s="487"/>
      <c r="K398" s="487"/>
      <c r="L398" s="487"/>
      <c r="M398" s="487"/>
      <c r="N398" s="487"/>
      <c r="O398" s="487"/>
      <c r="P398" s="487"/>
    </row>
    <row r="399" spans="1:16" ht="12.75" x14ac:dyDescent="0.2">
      <c r="A399" s="487"/>
      <c r="B399" s="487"/>
      <c r="C399" s="487"/>
      <c r="D399" s="487"/>
      <c r="E399" s="487"/>
      <c r="F399" s="487"/>
      <c r="G399" s="487"/>
      <c r="H399" s="487"/>
      <c r="I399" s="487"/>
      <c r="J399" s="487"/>
      <c r="K399" s="487"/>
      <c r="L399" s="487"/>
      <c r="M399" s="487"/>
      <c r="N399" s="487"/>
      <c r="O399" s="487"/>
      <c r="P399" s="487"/>
    </row>
    <row r="400" spans="1:16" ht="12.75" x14ac:dyDescent="0.2">
      <c r="A400" s="487"/>
      <c r="B400" s="487"/>
      <c r="C400" s="487"/>
      <c r="D400" s="487"/>
      <c r="E400" s="487"/>
      <c r="F400" s="487"/>
      <c r="G400" s="487"/>
      <c r="H400" s="487"/>
      <c r="I400" s="487"/>
      <c r="J400" s="487"/>
      <c r="K400" s="487"/>
      <c r="L400" s="487"/>
      <c r="M400" s="487"/>
      <c r="N400" s="487"/>
      <c r="O400" s="487"/>
      <c r="P400" s="487"/>
    </row>
    <row r="401" spans="1:16" ht="12.75" x14ac:dyDescent="0.2">
      <c r="A401" s="487"/>
      <c r="B401" s="487"/>
      <c r="C401" s="487"/>
      <c r="D401" s="487"/>
      <c r="E401" s="487"/>
      <c r="F401" s="487"/>
      <c r="G401" s="487"/>
      <c r="H401" s="487"/>
      <c r="I401" s="487"/>
      <c r="J401" s="487"/>
      <c r="K401" s="487"/>
      <c r="L401" s="487"/>
      <c r="M401" s="487"/>
      <c r="N401" s="487"/>
      <c r="O401" s="487"/>
      <c r="P401" s="487"/>
    </row>
    <row r="402" spans="1:16" ht="12.75" x14ac:dyDescent="0.2">
      <c r="A402" s="487"/>
      <c r="B402" s="487"/>
      <c r="C402" s="487"/>
      <c r="D402" s="487"/>
      <c r="E402" s="487"/>
      <c r="F402" s="487"/>
      <c r="G402" s="487"/>
      <c r="H402" s="487"/>
      <c r="I402" s="487"/>
      <c r="J402" s="487"/>
      <c r="K402" s="487"/>
      <c r="L402" s="487"/>
      <c r="M402" s="487"/>
      <c r="N402" s="487"/>
      <c r="O402" s="487"/>
      <c r="P402" s="487"/>
    </row>
    <row r="403" spans="1:16" ht="12.75" x14ac:dyDescent="0.2">
      <c r="A403" s="487"/>
      <c r="B403" s="487"/>
      <c r="C403" s="487"/>
      <c r="D403" s="487"/>
      <c r="E403" s="487"/>
      <c r="F403" s="487"/>
      <c r="G403" s="487"/>
      <c r="H403" s="487"/>
      <c r="I403" s="487"/>
      <c r="J403" s="487"/>
      <c r="K403" s="487"/>
      <c r="L403" s="487"/>
      <c r="M403" s="487"/>
      <c r="N403" s="487"/>
      <c r="O403" s="487"/>
      <c r="P403" s="487"/>
    </row>
    <row r="404" spans="1:16" ht="12.75" x14ac:dyDescent="0.2">
      <c r="A404" s="487"/>
      <c r="B404" s="487"/>
      <c r="C404" s="487"/>
      <c r="D404" s="487"/>
      <c r="E404" s="487"/>
      <c r="F404" s="487"/>
      <c r="G404" s="487"/>
      <c r="H404" s="487"/>
      <c r="I404" s="487"/>
      <c r="J404" s="487"/>
      <c r="K404" s="487"/>
      <c r="L404" s="487"/>
      <c r="M404" s="487"/>
      <c r="N404" s="487"/>
      <c r="O404" s="487"/>
      <c r="P404" s="487"/>
    </row>
    <row r="405" spans="1:16" ht="12.75" x14ac:dyDescent="0.2">
      <c r="A405" s="487"/>
      <c r="B405" s="487"/>
      <c r="C405" s="487"/>
      <c r="D405" s="487"/>
      <c r="E405" s="487"/>
      <c r="F405" s="487"/>
      <c r="G405" s="487"/>
      <c r="H405" s="487"/>
      <c r="I405" s="487"/>
      <c r="J405" s="487"/>
      <c r="K405" s="487"/>
      <c r="L405" s="487"/>
      <c r="M405" s="487"/>
      <c r="N405" s="487"/>
      <c r="O405" s="487"/>
      <c r="P405" s="487"/>
    </row>
    <row r="406" spans="1:16" ht="12.75" x14ac:dyDescent="0.2">
      <c r="A406" s="487"/>
      <c r="B406" s="487"/>
      <c r="C406" s="487"/>
      <c r="D406" s="487"/>
      <c r="E406" s="487"/>
      <c r="F406" s="487"/>
      <c r="G406" s="487"/>
      <c r="H406" s="487"/>
      <c r="I406" s="487"/>
      <c r="J406" s="487"/>
      <c r="K406" s="487"/>
      <c r="L406" s="487"/>
      <c r="M406" s="487"/>
      <c r="N406" s="487"/>
      <c r="O406" s="487"/>
      <c r="P406" s="487"/>
    </row>
    <row r="407" spans="1:16" ht="12.75" x14ac:dyDescent="0.2">
      <c r="A407" s="487"/>
      <c r="B407" s="487"/>
      <c r="C407" s="487"/>
      <c r="D407" s="487"/>
      <c r="E407" s="487"/>
      <c r="F407" s="487"/>
      <c r="G407" s="487"/>
      <c r="H407" s="487"/>
      <c r="I407" s="487"/>
      <c r="J407" s="487"/>
      <c r="K407" s="487"/>
      <c r="L407" s="487"/>
      <c r="M407" s="487"/>
      <c r="N407" s="487"/>
      <c r="O407" s="487"/>
      <c r="P407" s="487"/>
    </row>
    <row r="408" spans="1:16" ht="12.75" x14ac:dyDescent="0.2">
      <c r="A408" s="487"/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</row>
    <row r="409" spans="1:16" ht="12.75" x14ac:dyDescent="0.2">
      <c r="A409" s="487"/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</row>
    <row r="410" spans="1:16" ht="12.75" x14ac:dyDescent="0.2">
      <c r="A410" s="487"/>
      <c r="B410" s="487"/>
      <c r="C410" s="487"/>
      <c r="D410" s="487"/>
      <c r="E410" s="487"/>
      <c r="F410" s="487"/>
      <c r="G410" s="487"/>
      <c r="H410" s="487"/>
      <c r="I410" s="487"/>
      <c r="J410" s="487"/>
      <c r="K410" s="487"/>
      <c r="L410" s="487"/>
      <c r="M410" s="487"/>
      <c r="N410" s="487"/>
      <c r="O410" s="487"/>
      <c r="P410" s="487"/>
    </row>
    <row r="411" spans="1:16" ht="12.75" x14ac:dyDescent="0.2">
      <c r="A411" s="487"/>
      <c r="B411" s="487"/>
      <c r="C411" s="487"/>
      <c r="D411" s="487"/>
      <c r="E411" s="487"/>
      <c r="F411" s="487"/>
      <c r="G411" s="487"/>
      <c r="H411" s="487"/>
      <c r="I411" s="487"/>
      <c r="J411" s="487"/>
      <c r="K411" s="487"/>
      <c r="L411" s="487"/>
      <c r="M411" s="487"/>
      <c r="N411" s="487"/>
      <c r="O411" s="487"/>
      <c r="P411" s="487"/>
    </row>
    <row r="412" spans="1:16" ht="12.75" x14ac:dyDescent="0.2">
      <c r="A412" s="487"/>
      <c r="B412" s="487"/>
      <c r="C412" s="487"/>
      <c r="D412" s="487"/>
      <c r="E412" s="487"/>
      <c r="F412" s="487"/>
      <c r="G412" s="487"/>
      <c r="H412" s="487"/>
      <c r="I412" s="487"/>
      <c r="J412" s="487"/>
      <c r="K412" s="487"/>
      <c r="L412" s="487"/>
      <c r="M412" s="487"/>
      <c r="N412" s="487"/>
      <c r="O412" s="487"/>
      <c r="P412" s="487"/>
    </row>
    <row r="413" spans="1:16" ht="12.75" x14ac:dyDescent="0.2">
      <c r="A413" s="487"/>
      <c r="B413" s="487"/>
      <c r="C413" s="487"/>
      <c r="D413" s="487"/>
      <c r="E413" s="487"/>
      <c r="F413" s="487"/>
      <c r="G413" s="487"/>
      <c r="H413" s="487"/>
      <c r="I413" s="487"/>
      <c r="J413" s="487"/>
      <c r="K413" s="487"/>
      <c r="L413" s="487"/>
      <c r="M413" s="487"/>
      <c r="N413" s="487"/>
      <c r="O413" s="487"/>
      <c r="P413" s="487"/>
    </row>
    <row r="414" spans="1:16" ht="12.75" x14ac:dyDescent="0.2">
      <c r="A414" s="487"/>
      <c r="B414" s="487"/>
      <c r="C414" s="487"/>
      <c r="D414" s="487"/>
      <c r="E414" s="487"/>
      <c r="F414" s="487"/>
      <c r="G414" s="487"/>
      <c r="H414" s="487"/>
      <c r="I414" s="487"/>
      <c r="J414" s="487"/>
      <c r="K414" s="487"/>
      <c r="L414" s="487"/>
      <c r="M414" s="487"/>
      <c r="N414" s="487"/>
      <c r="O414" s="487"/>
      <c r="P414" s="487"/>
    </row>
    <row r="415" spans="1:16" ht="12.75" x14ac:dyDescent="0.2">
      <c r="A415" s="487"/>
      <c r="B415" s="487"/>
      <c r="C415" s="487"/>
      <c r="D415" s="487"/>
      <c r="E415" s="487"/>
      <c r="F415" s="487"/>
      <c r="G415" s="487"/>
      <c r="H415" s="487"/>
      <c r="I415" s="487"/>
      <c r="J415" s="487"/>
      <c r="K415" s="487"/>
      <c r="L415" s="487"/>
      <c r="M415" s="487"/>
      <c r="N415" s="487"/>
      <c r="O415" s="487"/>
      <c r="P415" s="487"/>
    </row>
    <row r="416" spans="1:16" ht="12.75" x14ac:dyDescent="0.2">
      <c r="A416" s="487"/>
      <c r="B416" s="487"/>
      <c r="C416" s="487"/>
      <c r="D416" s="487"/>
      <c r="E416" s="487"/>
      <c r="F416" s="487"/>
      <c r="G416" s="487"/>
      <c r="H416" s="487"/>
      <c r="I416" s="487"/>
      <c r="J416" s="487"/>
      <c r="K416" s="487"/>
      <c r="L416" s="487"/>
      <c r="M416" s="487"/>
      <c r="N416" s="487"/>
      <c r="O416" s="487"/>
      <c r="P416" s="487"/>
    </row>
    <row r="417" spans="1:16" ht="12.75" x14ac:dyDescent="0.2">
      <c r="A417" s="487"/>
      <c r="B417" s="487"/>
      <c r="C417" s="487"/>
      <c r="D417" s="487"/>
      <c r="E417" s="487"/>
      <c r="F417" s="487"/>
      <c r="G417" s="487"/>
      <c r="H417" s="487"/>
      <c r="I417" s="487"/>
      <c r="J417" s="487"/>
      <c r="K417" s="487"/>
      <c r="L417" s="487"/>
      <c r="M417" s="487"/>
      <c r="N417" s="487"/>
      <c r="O417" s="487"/>
      <c r="P417" s="487"/>
    </row>
    <row r="418" spans="1:16" ht="12.75" x14ac:dyDescent="0.2">
      <c r="A418" s="487"/>
      <c r="B418" s="487"/>
      <c r="C418" s="487"/>
      <c r="D418" s="487"/>
      <c r="E418" s="487"/>
      <c r="F418" s="487"/>
      <c r="G418" s="487"/>
      <c r="H418" s="487"/>
      <c r="I418" s="487"/>
      <c r="J418" s="487"/>
      <c r="K418" s="487"/>
      <c r="L418" s="487"/>
      <c r="M418" s="487"/>
      <c r="N418" s="487"/>
      <c r="O418" s="487"/>
      <c r="P418" s="487"/>
    </row>
    <row r="419" spans="1:16" ht="12.75" x14ac:dyDescent="0.2">
      <c r="A419" s="487"/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</row>
    <row r="420" spans="1:16" ht="12.75" x14ac:dyDescent="0.2">
      <c r="A420" s="487"/>
      <c r="B420" s="487"/>
      <c r="C420" s="487"/>
      <c r="D420" s="487"/>
      <c r="E420" s="487"/>
      <c r="F420" s="487"/>
      <c r="G420" s="487"/>
      <c r="H420" s="487"/>
      <c r="I420" s="487"/>
      <c r="J420" s="487"/>
      <c r="K420" s="487"/>
      <c r="L420" s="487"/>
      <c r="M420" s="487"/>
      <c r="N420" s="487"/>
      <c r="O420" s="487"/>
      <c r="P420" s="487"/>
    </row>
    <row r="421" spans="1:16" ht="12.75" x14ac:dyDescent="0.2">
      <c r="A421" s="487"/>
      <c r="B421" s="487"/>
      <c r="C421" s="487"/>
      <c r="D421" s="487"/>
      <c r="E421" s="487"/>
      <c r="F421" s="487"/>
      <c r="G421" s="487"/>
      <c r="H421" s="487"/>
      <c r="I421" s="487"/>
      <c r="J421" s="487"/>
      <c r="K421" s="487"/>
      <c r="L421" s="487"/>
      <c r="M421" s="487"/>
      <c r="N421" s="487"/>
      <c r="O421" s="487"/>
      <c r="P421" s="487"/>
    </row>
    <row r="422" spans="1:16" ht="12.75" x14ac:dyDescent="0.2">
      <c r="A422" s="487"/>
      <c r="B422" s="487"/>
      <c r="C422" s="487"/>
      <c r="D422" s="487"/>
      <c r="E422" s="487"/>
      <c r="F422" s="487"/>
      <c r="G422" s="487"/>
      <c r="H422" s="487"/>
      <c r="I422" s="487"/>
      <c r="J422" s="487"/>
      <c r="K422" s="487"/>
      <c r="L422" s="487"/>
      <c r="M422" s="487"/>
      <c r="N422" s="487"/>
      <c r="O422" s="487"/>
      <c r="P422" s="487"/>
    </row>
    <row r="423" spans="1:16" ht="12.75" x14ac:dyDescent="0.2">
      <c r="A423" s="487"/>
      <c r="B423" s="487"/>
      <c r="C423" s="487"/>
      <c r="D423" s="487"/>
      <c r="E423" s="487"/>
      <c r="F423" s="487"/>
      <c r="G423" s="487"/>
      <c r="H423" s="487"/>
      <c r="I423" s="487"/>
      <c r="J423" s="487"/>
      <c r="K423" s="487"/>
      <c r="L423" s="487"/>
      <c r="M423" s="487"/>
      <c r="N423" s="487"/>
      <c r="O423" s="487"/>
      <c r="P423" s="487"/>
    </row>
    <row r="424" spans="1:16" ht="12.75" x14ac:dyDescent="0.2">
      <c r="A424" s="487"/>
      <c r="B424" s="487"/>
      <c r="C424" s="487"/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7"/>
    </row>
    <row r="425" spans="1:16" ht="12.75" x14ac:dyDescent="0.2">
      <c r="A425" s="487"/>
      <c r="B425" s="487"/>
      <c r="C425" s="487"/>
      <c r="D425" s="487"/>
      <c r="E425" s="487"/>
      <c r="F425" s="487"/>
      <c r="G425" s="487"/>
      <c r="H425" s="487"/>
      <c r="I425" s="487"/>
      <c r="J425" s="487"/>
      <c r="K425" s="487"/>
      <c r="L425" s="487"/>
      <c r="M425" s="487"/>
      <c r="N425" s="487"/>
      <c r="O425" s="487"/>
      <c r="P425" s="487"/>
    </row>
    <row r="426" spans="1:16" ht="12.75" x14ac:dyDescent="0.2">
      <c r="A426" s="487"/>
      <c r="B426" s="487"/>
      <c r="C426" s="487"/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7"/>
    </row>
    <row r="427" spans="1:16" ht="12.75" x14ac:dyDescent="0.2">
      <c r="A427" s="487"/>
      <c r="B427" s="487"/>
      <c r="C427" s="487"/>
      <c r="D427" s="487"/>
      <c r="E427" s="487"/>
      <c r="F427" s="487"/>
      <c r="G427" s="487"/>
      <c r="H427" s="487"/>
      <c r="I427" s="487"/>
      <c r="J427" s="487"/>
      <c r="K427" s="487"/>
      <c r="L427" s="487"/>
      <c r="M427" s="487"/>
      <c r="N427" s="487"/>
      <c r="O427" s="487"/>
      <c r="P427" s="487"/>
    </row>
    <row r="428" spans="1:16" ht="12.75" x14ac:dyDescent="0.2">
      <c r="A428" s="487"/>
      <c r="B428" s="487"/>
      <c r="C428" s="487"/>
      <c r="D428" s="487"/>
      <c r="E428" s="487"/>
      <c r="F428" s="487"/>
      <c r="G428" s="487"/>
      <c r="H428" s="487"/>
      <c r="I428" s="487"/>
      <c r="J428" s="487"/>
      <c r="K428" s="487"/>
      <c r="L428" s="487"/>
      <c r="M428" s="487"/>
      <c r="N428" s="487"/>
      <c r="O428" s="487"/>
      <c r="P428" s="487"/>
    </row>
    <row r="429" spans="1:16" ht="12.75" x14ac:dyDescent="0.2">
      <c r="A429" s="487"/>
      <c r="B429" s="487"/>
      <c r="C429" s="487"/>
      <c r="D429" s="487"/>
      <c r="E429" s="487"/>
      <c r="F429" s="487"/>
      <c r="G429" s="487"/>
      <c r="H429" s="487"/>
      <c r="I429" s="487"/>
      <c r="J429" s="487"/>
      <c r="K429" s="487"/>
      <c r="L429" s="487"/>
      <c r="M429" s="487"/>
      <c r="N429" s="487"/>
      <c r="O429" s="487"/>
      <c r="P429" s="487"/>
    </row>
    <row r="430" spans="1:16" ht="12.75" x14ac:dyDescent="0.2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</row>
    <row r="431" spans="1:16" ht="12.75" x14ac:dyDescent="0.2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</row>
    <row r="432" spans="1:16" ht="12.75" x14ac:dyDescent="0.2">
      <c r="A432" s="487"/>
      <c r="B432" s="487"/>
      <c r="C432" s="487"/>
      <c r="D432" s="487"/>
      <c r="E432" s="487"/>
      <c r="F432" s="487"/>
      <c r="G432" s="487"/>
      <c r="H432" s="487"/>
      <c r="I432" s="487"/>
      <c r="J432" s="487"/>
      <c r="K432" s="487"/>
      <c r="L432" s="487"/>
      <c r="M432" s="487"/>
      <c r="N432" s="487"/>
      <c r="O432" s="487"/>
      <c r="P432" s="487"/>
    </row>
    <row r="433" spans="1:16" ht="12.75" x14ac:dyDescent="0.2">
      <c r="A433" s="487"/>
      <c r="B433" s="487"/>
      <c r="C433" s="487"/>
      <c r="D433" s="487"/>
      <c r="E433" s="487"/>
      <c r="F433" s="487"/>
      <c r="G433" s="487"/>
      <c r="H433" s="487"/>
      <c r="I433" s="487"/>
      <c r="J433" s="487"/>
      <c r="K433" s="487"/>
      <c r="L433" s="487"/>
      <c r="M433" s="487"/>
      <c r="N433" s="487"/>
      <c r="O433" s="487"/>
      <c r="P433" s="487"/>
    </row>
    <row r="434" spans="1:16" ht="12.75" x14ac:dyDescent="0.2">
      <c r="A434" s="487"/>
      <c r="B434" s="487"/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</row>
    <row r="435" spans="1:16" ht="12.75" x14ac:dyDescent="0.2">
      <c r="A435" s="487"/>
      <c r="B435" s="487"/>
      <c r="C435" s="487"/>
      <c r="D435" s="487"/>
      <c r="E435" s="487"/>
      <c r="F435" s="487"/>
      <c r="G435" s="487"/>
      <c r="H435" s="487"/>
      <c r="I435" s="487"/>
      <c r="J435" s="487"/>
      <c r="K435" s="487"/>
      <c r="L435" s="487"/>
      <c r="M435" s="487"/>
      <c r="N435" s="487"/>
      <c r="O435" s="487"/>
      <c r="P435" s="487"/>
    </row>
    <row r="436" spans="1:16" ht="12.75" x14ac:dyDescent="0.2">
      <c r="A436" s="487"/>
      <c r="B436" s="487"/>
      <c r="C436" s="487"/>
      <c r="D436" s="487"/>
      <c r="E436" s="487"/>
      <c r="F436" s="487"/>
      <c r="G436" s="487"/>
      <c r="H436" s="487"/>
      <c r="I436" s="487"/>
      <c r="J436" s="487"/>
      <c r="K436" s="487"/>
      <c r="L436" s="487"/>
      <c r="M436" s="487"/>
      <c r="N436" s="487"/>
      <c r="O436" s="487"/>
      <c r="P436" s="487"/>
    </row>
    <row r="437" spans="1:16" ht="12.75" x14ac:dyDescent="0.2">
      <c r="A437" s="487"/>
      <c r="B437" s="487"/>
      <c r="C437" s="487"/>
      <c r="D437" s="487"/>
      <c r="E437" s="487"/>
      <c r="F437" s="487"/>
      <c r="G437" s="487"/>
      <c r="H437" s="487"/>
      <c r="I437" s="487"/>
      <c r="J437" s="487"/>
      <c r="K437" s="487"/>
      <c r="L437" s="487"/>
      <c r="M437" s="487"/>
      <c r="N437" s="487"/>
      <c r="O437" s="487"/>
      <c r="P437" s="487"/>
    </row>
    <row r="438" spans="1:16" ht="12.75" x14ac:dyDescent="0.2">
      <c r="A438" s="487"/>
      <c r="B438" s="487"/>
      <c r="C438" s="487"/>
      <c r="D438" s="487"/>
      <c r="E438" s="487"/>
      <c r="F438" s="487"/>
      <c r="G438" s="487"/>
      <c r="H438" s="487"/>
      <c r="I438" s="487"/>
      <c r="J438" s="487"/>
      <c r="K438" s="487"/>
      <c r="L438" s="487"/>
      <c r="M438" s="487"/>
      <c r="N438" s="487"/>
      <c r="O438" s="487"/>
      <c r="P438" s="487"/>
    </row>
    <row r="439" spans="1:16" ht="12.75" x14ac:dyDescent="0.2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87"/>
    </row>
    <row r="440" spans="1:16" ht="12.75" x14ac:dyDescent="0.2">
      <c r="A440" s="487"/>
      <c r="B440" s="487"/>
      <c r="C440" s="487"/>
      <c r="D440" s="487"/>
      <c r="E440" s="487"/>
      <c r="F440" s="487"/>
      <c r="G440" s="487"/>
      <c r="H440" s="487"/>
      <c r="I440" s="487"/>
      <c r="J440" s="487"/>
      <c r="K440" s="487"/>
      <c r="L440" s="487"/>
      <c r="M440" s="487"/>
      <c r="N440" s="487"/>
      <c r="O440" s="487"/>
      <c r="P440" s="487"/>
    </row>
    <row r="441" spans="1:16" ht="12.75" x14ac:dyDescent="0.2">
      <c r="A441" s="487"/>
      <c r="B441" s="487"/>
      <c r="C441" s="487"/>
      <c r="D441" s="487"/>
      <c r="E441" s="487"/>
      <c r="F441" s="487"/>
      <c r="G441" s="487"/>
      <c r="H441" s="487"/>
      <c r="I441" s="487"/>
      <c r="J441" s="487"/>
      <c r="K441" s="487"/>
      <c r="L441" s="487"/>
      <c r="M441" s="487"/>
      <c r="N441" s="487"/>
      <c r="O441" s="487"/>
      <c r="P441" s="487"/>
    </row>
    <row r="442" spans="1:16" ht="12.75" x14ac:dyDescent="0.2">
      <c r="A442" s="487"/>
      <c r="B442" s="487"/>
      <c r="C442" s="487"/>
      <c r="D442" s="487"/>
      <c r="E442" s="487"/>
      <c r="F442" s="487"/>
      <c r="G442" s="487"/>
      <c r="H442" s="487"/>
      <c r="I442" s="487"/>
      <c r="J442" s="487"/>
      <c r="K442" s="487"/>
      <c r="L442" s="487"/>
      <c r="M442" s="487"/>
      <c r="N442" s="487"/>
      <c r="O442" s="487"/>
      <c r="P442" s="487"/>
    </row>
    <row r="443" spans="1:16" ht="12.75" x14ac:dyDescent="0.2">
      <c r="A443" s="487"/>
      <c r="B443" s="487"/>
      <c r="C443" s="487"/>
      <c r="D443" s="487"/>
      <c r="E443" s="487"/>
      <c r="F443" s="487"/>
      <c r="G443" s="487"/>
      <c r="H443" s="487"/>
      <c r="I443" s="487"/>
      <c r="J443" s="487"/>
      <c r="K443" s="487"/>
      <c r="L443" s="487"/>
      <c r="M443" s="487"/>
      <c r="N443" s="487"/>
      <c r="O443" s="487"/>
      <c r="P443" s="487"/>
    </row>
    <row r="444" spans="1:16" ht="12.75" x14ac:dyDescent="0.2">
      <c r="A444" s="487"/>
      <c r="B444" s="487"/>
      <c r="C444" s="487"/>
      <c r="D444" s="487"/>
      <c r="E444" s="487"/>
      <c r="F444" s="487"/>
      <c r="G444" s="487"/>
      <c r="H444" s="487"/>
      <c r="I444" s="487"/>
      <c r="J444" s="487"/>
      <c r="K444" s="487"/>
      <c r="L444" s="487"/>
      <c r="M444" s="487"/>
      <c r="N444" s="487"/>
      <c r="O444" s="487"/>
      <c r="P444" s="487"/>
    </row>
    <row r="445" spans="1:16" ht="12.75" x14ac:dyDescent="0.2">
      <c r="A445" s="487"/>
      <c r="B445" s="487"/>
      <c r="C445" s="487"/>
      <c r="D445" s="487"/>
      <c r="E445" s="487"/>
      <c r="F445" s="487"/>
      <c r="G445" s="487"/>
      <c r="H445" s="487"/>
      <c r="I445" s="487"/>
      <c r="J445" s="487"/>
      <c r="K445" s="487"/>
      <c r="L445" s="487"/>
      <c r="M445" s="487"/>
      <c r="N445" s="487"/>
      <c r="O445" s="487"/>
      <c r="P445" s="487"/>
    </row>
    <row r="446" spans="1:16" ht="12.75" x14ac:dyDescent="0.2">
      <c r="A446" s="487"/>
      <c r="B446" s="487"/>
      <c r="C446" s="487"/>
      <c r="D446" s="487"/>
      <c r="E446" s="487"/>
      <c r="F446" s="487"/>
      <c r="G446" s="487"/>
      <c r="H446" s="487"/>
      <c r="I446" s="487"/>
      <c r="J446" s="487"/>
      <c r="K446" s="487"/>
      <c r="L446" s="487"/>
      <c r="M446" s="487"/>
      <c r="N446" s="487"/>
      <c r="O446" s="487"/>
      <c r="P446" s="487"/>
    </row>
    <row r="447" spans="1:16" ht="12.75" x14ac:dyDescent="0.2">
      <c r="A447" s="487"/>
      <c r="B447" s="487"/>
      <c r="C447" s="487"/>
      <c r="D447" s="487"/>
      <c r="E447" s="487"/>
      <c r="F447" s="487"/>
      <c r="G447" s="487"/>
      <c r="H447" s="487"/>
      <c r="I447" s="487"/>
      <c r="J447" s="487"/>
      <c r="K447" s="487"/>
      <c r="L447" s="487"/>
      <c r="M447" s="487"/>
      <c r="N447" s="487"/>
      <c r="O447" s="487"/>
      <c r="P447" s="487"/>
    </row>
    <row r="448" spans="1:16" ht="12.75" x14ac:dyDescent="0.2">
      <c r="A448" s="487"/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</row>
    <row r="449" spans="1:16" ht="12.75" x14ac:dyDescent="0.2">
      <c r="A449" s="487"/>
      <c r="B449" s="487"/>
      <c r="C449" s="487"/>
      <c r="D449" s="487"/>
      <c r="E449" s="487"/>
      <c r="F449" s="487"/>
      <c r="G449" s="487"/>
      <c r="H449" s="487"/>
      <c r="I449" s="487"/>
      <c r="J449" s="487"/>
      <c r="K449" s="487"/>
      <c r="L449" s="487"/>
      <c r="M449" s="487"/>
      <c r="N449" s="487"/>
      <c r="O449" s="487"/>
      <c r="P449" s="487"/>
    </row>
    <row r="450" spans="1:16" ht="12.75" x14ac:dyDescent="0.2">
      <c r="A450" s="487"/>
      <c r="B450" s="487"/>
      <c r="C450" s="487"/>
      <c r="D450" s="487"/>
      <c r="E450" s="487"/>
      <c r="F450" s="487"/>
      <c r="G450" s="487"/>
      <c r="H450" s="487"/>
      <c r="I450" s="487"/>
      <c r="J450" s="487"/>
      <c r="K450" s="487"/>
      <c r="L450" s="487"/>
      <c r="M450" s="487"/>
      <c r="N450" s="487"/>
      <c r="O450" s="487"/>
      <c r="P450" s="487"/>
    </row>
    <row r="451" spans="1:16" ht="12.75" x14ac:dyDescent="0.2">
      <c r="A451" s="487"/>
      <c r="B451" s="487"/>
      <c r="C451" s="487"/>
      <c r="D451" s="487"/>
      <c r="E451" s="487"/>
      <c r="F451" s="487"/>
      <c r="G451" s="487"/>
      <c r="H451" s="487"/>
      <c r="I451" s="487"/>
      <c r="J451" s="487"/>
      <c r="K451" s="487"/>
      <c r="L451" s="487"/>
      <c r="M451" s="487"/>
      <c r="N451" s="487"/>
      <c r="O451" s="487"/>
      <c r="P451" s="487"/>
    </row>
    <row r="452" spans="1:16" ht="12.75" x14ac:dyDescent="0.2">
      <c r="A452" s="487"/>
      <c r="B452" s="487"/>
      <c r="C452" s="487"/>
      <c r="D452" s="487"/>
      <c r="E452" s="487"/>
      <c r="F452" s="487"/>
      <c r="G452" s="487"/>
      <c r="H452" s="487"/>
      <c r="I452" s="487"/>
      <c r="J452" s="487"/>
      <c r="K452" s="487"/>
      <c r="L452" s="487"/>
      <c r="M452" s="487"/>
      <c r="N452" s="487"/>
      <c r="O452" s="487"/>
      <c r="P452" s="487"/>
    </row>
    <row r="453" spans="1:16" ht="12.75" x14ac:dyDescent="0.2">
      <c r="A453" s="487"/>
      <c r="B453" s="487"/>
      <c r="C453" s="487"/>
      <c r="D453" s="487"/>
      <c r="E453" s="487"/>
      <c r="F453" s="487"/>
      <c r="G453" s="487"/>
      <c r="H453" s="487"/>
      <c r="I453" s="487"/>
      <c r="J453" s="487"/>
      <c r="K453" s="487"/>
      <c r="L453" s="487"/>
      <c r="M453" s="487"/>
      <c r="N453" s="487"/>
      <c r="O453" s="487"/>
      <c r="P453" s="487"/>
    </row>
    <row r="454" spans="1:16" ht="12.75" x14ac:dyDescent="0.2">
      <c r="A454" s="487"/>
      <c r="B454" s="487"/>
      <c r="C454" s="487"/>
      <c r="D454" s="487"/>
      <c r="E454" s="487"/>
      <c r="F454" s="487"/>
      <c r="G454" s="487"/>
      <c r="H454" s="487"/>
      <c r="I454" s="487"/>
      <c r="J454" s="487"/>
      <c r="K454" s="487"/>
      <c r="L454" s="487"/>
      <c r="M454" s="487"/>
      <c r="N454" s="487"/>
      <c r="O454" s="487"/>
      <c r="P454" s="487"/>
    </row>
    <row r="455" spans="1:16" ht="12.75" x14ac:dyDescent="0.2">
      <c r="A455" s="487"/>
      <c r="B455" s="487"/>
      <c r="C455" s="487"/>
      <c r="D455" s="487"/>
      <c r="E455" s="487"/>
      <c r="F455" s="487"/>
      <c r="G455" s="487"/>
      <c r="H455" s="487"/>
      <c r="I455" s="487"/>
      <c r="J455" s="487"/>
      <c r="K455" s="487"/>
      <c r="L455" s="487"/>
      <c r="M455" s="487"/>
      <c r="N455" s="487"/>
      <c r="O455" s="487"/>
      <c r="P455" s="487"/>
    </row>
    <row r="456" spans="1:16" ht="12.75" x14ac:dyDescent="0.2">
      <c r="A456" s="487"/>
      <c r="B456" s="487"/>
      <c r="C456" s="487"/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7"/>
    </row>
    <row r="457" spans="1:16" ht="12.75" x14ac:dyDescent="0.2">
      <c r="A457" s="487"/>
      <c r="B457" s="487"/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</row>
    <row r="458" spans="1:16" ht="12.75" x14ac:dyDescent="0.2">
      <c r="A458" s="487"/>
      <c r="B458" s="487"/>
      <c r="C458" s="487"/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7"/>
    </row>
    <row r="459" spans="1:16" ht="12.75" x14ac:dyDescent="0.2">
      <c r="A459" s="487"/>
      <c r="B459" s="487"/>
      <c r="C459" s="487"/>
      <c r="D459" s="487"/>
      <c r="E459" s="487"/>
      <c r="F459" s="487"/>
      <c r="G459" s="487"/>
      <c r="H459" s="487"/>
      <c r="I459" s="487"/>
      <c r="J459" s="487"/>
      <c r="K459" s="487"/>
      <c r="L459" s="487"/>
      <c r="M459" s="487"/>
      <c r="N459" s="487"/>
      <c r="O459" s="487"/>
      <c r="P459" s="487"/>
    </row>
    <row r="460" spans="1:16" ht="12.75" x14ac:dyDescent="0.2">
      <c r="A460" s="487"/>
      <c r="B460" s="487"/>
      <c r="C460" s="487"/>
      <c r="D460" s="487"/>
      <c r="E460" s="487"/>
      <c r="F460" s="487"/>
      <c r="G460" s="487"/>
      <c r="H460" s="487"/>
      <c r="I460" s="487"/>
      <c r="J460" s="487"/>
      <c r="K460" s="487"/>
      <c r="L460" s="487"/>
      <c r="M460" s="487"/>
      <c r="N460" s="487"/>
      <c r="O460" s="487"/>
      <c r="P460" s="487"/>
    </row>
    <row r="461" spans="1:16" ht="12.75" x14ac:dyDescent="0.2">
      <c r="A461" s="487"/>
      <c r="B461" s="487"/>
      <c r="C461" s="487"/>
      <c r="D461" s="487"/>
      <c r="E461" s="487"/>
      <c r="F461" s="487"/>
      <c r="G461" s="487"/>
      <c r="H461" s="487"/>
      <c r="I461" s="487"/>
      <c r="J461" s="487"/>
      <c r="K461" s="487"/>
      <c r="L461" s="487"/>
      <c r="M461" s="487"/>
      <c r="N461" s="487"/>
      <c r="O461" s="487"/>
      <c r="P461" s="487"/>
    </row>
    <row r="462" spans="1:16" ht="12.75" x14ac:dyDescent="0.2">
      <c r="A462" s="487"/>
      <c r="B462" s="487"/>
      <c r="C462" s="487"/>
      <c r="D462" s="487"/>
      <c r="E462" s="487"/>
      <c r="F462" s="487"/>
      <c r="G462" s="487"/>
      <c r="H462" s="487"/>
      <c r="I462" s="487"/>
      <c r="J462" s="487"/>
      <c r="K462" s="487"/>
      <c r="L462" s="487"/>
      <c r="M462" s="487"/>
      <c r="N462" s="487"/>
      <c r="O462" s="487"/>
      <c r="P462" s="487"/>
    </row>
    <row r="463" spans="1:16" ht="12.75" x14ac:dyDescent="0.2">
      <c r="A463" s="487"/>
      <c r="B463" s="487"/>
      <c r="C463" s="487"/>
      <c r="D463" s="487"/>
      <c r="E463" s="487"/>
      <c r="F463" s="487"/>
      <c r="G463" s="487"/>
      <c r="H463" s="487"/>
      <c r="I463" s="487"/>
      <c r="J463" s="487"/>
      <c r="K463" s="487"/>
      <c r="L463" s="487"/>
      <c r="M463" s="487"/>
      <c r="N463" s="487"/>
      <c r="O463" s="487"/>
      <c r="P463" s="487"/>
    </row>
    <row r="464" spans="1:16" ht="12.75" x14ac:dyDescent="0.2">
      <c r="A464" s="487"/>
      <c r="B464" s="487"/>
      <c r="C464" s="487"/>
      <c r="D464" s="487"/>
      <c r="E464" s="487"/>
      <c r="F464" s="487"/>
      <c r="G464" s="487"/>
      <c r="H464" s="487"/>
      <c r="I464" s="487"/>
      <c r="J464" s="487"/>
      <c r="K464" s="487"/>
      <c r="L464" s="487"/>
      <c r="M464" s="487"/>
      <c r="N464" s="487"/>
      <c r="O464" s="487"/>
      <c r="P464" s="487"/>
    </row>
    <row r="465" spans="1:16" ht="12.75" x14ac:dyDescent="0.2">
      <c r="A465" s="487"/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</row>
    <row r="466" spans="1:16" ht="12.75" x14ac:dyDescent="0.2">
      <c r="A466" s="487"/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</row>
    <row r="467" spans="1:16" ht="12.75" x14ac:dyDescent="0.2">
      <c r="A467" s="487"/>
      <c r="B467" s="487"/>
      <c r="C467" s="487"/>
      <c r="D467" s="487"/>
      <c r="E467" s="487"/>
      <c r="F467" s="487"/>
      <c r="G467" s="487"/>
      <c r="H467" s="487"/>
      <c r="I467" s="487"/>
      <c r="J467" s="487"/>
      <c r="K467" s="487"/>
      <c r="L467" s="487"/>
      <c r="M467" s="487"/>
      <c r="N467" s="487"/>
      <c r="O467" s="487"/>
      <c r="P467" s="487"/>
    </row>
    <row r="468" spans="1:16" ht="12.75" x14ac:dyDescent="0.2">
      <c r="A468" s="487"/>
      <c r="B468" s="487"/>
      <c r="C468" s="487"/>
      <c r="D468" s="487"/>
      <c r="E468" s="487"/>
      <c r="F468" s="487"/>
      <c r="G468" s="487"/>
      <c r="H468" s="487"/>
      <c r="I468" s="487"/>
      <c r="J468" s="487"/>
      <c r="K468" s="487"/>
      <c r="L468" s="487"/>
      <c r="M468" s="487"/>
      <c r="N468" s="487"/>
      <c r="O468" s="487"/>
      <c r="P468" s="487"/>
    </row>
    <row r="469" spans="1:16" ht="12.75" x14ac:dyDescent="0.2">
      <c r="A469" s="487"/>
      <c r="B469" s="487"/>
      <c r="C469" s="487"/>
      <c r="D469" s="487"/>
      <c r="E469" s="487"/>
      <c r="F469" s="487"/>
      <c r="G469" s="487"/>
      <c r="H469" s="487"/>
      <c r="I469" s="487"/>
      <c r="J469" s="487"/>
      <c r="K469" s="487"/>
      <c r="L469" s="487"/>
      <c r="M469" s="487"/>
      <c r="N469" s="487"/>
      <c r="O469" s="487"/>
      <c r="P469" s="487"/>
    </row>
    <row r="470" spans="1:16" ht="12.75" x14ac:dyDescent="0.2">
      <c r="A470" s="487"/>
      <c r="B470" s="487"/>
      <c r="C470" s="487"/>
      <c r="D470" s="487"/>
      <c r="E470" s="487"/>
      <c r="F470" s="487"/>
      <c r="G470" s="487"/>
      <c r="H470" s="487"/>
      <c r="I470" s="487"/>
      <c r="J470" s="487"/>
      <c r="K470" s="487"/>
      <c r="L470" s="487"/>
      <c r="M470" s="487"/>
      <c r="N470" s="487"/>
      <c r="O470" s="487"/>
      <c r="P470" s="487"/>
    </row>
    <row r="471" spans="1:16" ht="12.75" x14ac:dyDescent="0.2">
      <c r="A471" s="487"/>
      <c r="B471" s="487"/>
      <c r="C471" s="487"/>
      <c r="D471" s="487"/>
      <c r="E471" s="487"/>
      <c r="F471" s="487"/>
      <c r="G471" s="487"/>
      <c r="H471" s="487"/>
      <c r="I471" s="487"/>
      <c r="J471" s="487"/>
      <c r="K471" s="487"/>
      <c r="L471" s="487"/>
      <c r="M471" s="487"/>
      <c r="N471" s="487"/>
      <c r="O471" s="487"/>
      <c r="P471" s="487"/>
    </row>
    <row r="472" spans="1:16" ht="12.75" x14ac:dyDescent="0.2">
      <c r="A472" s="487"/>
      <c r="B472" s="487"/>
      <c r="C472" s="487"/>
      <c r="D472" s="487"/>
      <c r="E472" s="487"/>
      <c r="F472" s="487"/>
      <c r="G472" s="487"/>
      <c r="H472" s="487"/>
      <c r="I472" s="487"/>
      <c r="J472" s="487"/>
      <c r="K472" s="487"/>
      <c r="L472" s="487"/>
      <c r="M472" s="487"/>
      <c r="N472" s="487"/>
      <c r="O472" s="487"/>
      <c r="P472" s="487"/>
    </row>
    <row r="473" spans="1:16" ht="12.75" x14ac:dyDescent="0.2">
      <c r="A473" s="487"/>
      <c r="B473" s="487"/>
      <c r="C473" s="487"/>
      <c r="D473" s="487"/>
      <c r="E473" s="487"/>
      <c r="F473" s="487"/>
      <c r="G473" s="487"/>
      <c r="H473" s="487"/>
      <c r="I473" s="487"/>
      <c r="J473" s="487"/>
      <c r="K473" s="487"/>
      <c r="L473" s="487"/>
      <c r="M473" s="487"/>
      <c r="N473" s="487"/>
      <c r="O473" s="487"/>
      <c r="P473" s="487"/>
    </row>
    <row r="474" spans="1:16" ht="12.75" x14ac:dyDescent="0.2">
      <c r="A474" s="487"/>
      <c r="B474" s="487"/>
      <c r="C474" s="487"/>
      <c r="D474" s="487"/>
      <c r="E474" s="487"/>
      <c r="F474" s="487"/>
      <c r="G474" s="487"/>
      <c r="H474" s="487"/>
      <c r="I474" s="487"/>
      <c r="J474" s="487"/>
      <c r="K474" s="487"/>
      <c r="L474" s="487"/>
      <c r="M474" s="487"/>
      <c r="N474" s="487"/>
      <c r="O474" s="487"/>
      <c r="P474" s="487"/>
    </row>
    <row r="475" spans="1:16" ht="12.75" x14ac:dyDescent="0.2">
      <c r="A475" s="487"/>
      <c r="B475" s="487"/>
      <c r="C475" s="487"/>
      <c r="D475" s="487"/>
      <c r="E475" s="487"/>
      <c r="F475" s="487"/>
      <c r="G475" s="487"/>
      <c r="H475" s="487"/>
      <c r="I475" s="487"/>
      <c r="J475" s="487"/>
      <c r="K475" s="487"/>
      <c r="L475" s="487"/>
      <c r="M475" s="487"/>
      <c r="N475" s="487"/>
      <c r="O475" s="487"/>
      <c r="P475" s="487"/>
    </row>
    <row r="476" spans="1:16" ht="12.75" x14ac:dyDescent="0.2">
      <c r="A476" s="487"/>
      <c r="B476" s="487"/>
      <c r="C476" s="487"/>
      <c r="D476" s="487"/>
      <c r="E476" s="487"/>
      <c r="F476" s="487"/>
      <c r="G476" s="487"/>
      <c r="H476" s="487"/>
      <c r="I476" s="487"/>
      <c r="J476" s="487"/>
      <c r="K476" s="487"/>
      <c r="L476" s="487"/>
      <c r="M476" s="487"/>
      <c r="N476" s="487"/>
      <c r="O476" s="487"/>
      <c r="P476" s="487"/>
    </row>
    <row r="477" spans="1:16" ht="12.75" x14ac:dyDescent="0.2">
      <c r="A477" s="487"/>
      <c r="B477" s="487"/>
      <c r="C477" s="487"/>
      <c r="D477" s="487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</row>
    <row r="478" spans="1:16" ht="12.75" x14ac:dyDescent="0.2">
      <c r="A478" s="487"/>
      <c r="B478" s="487"/>
      <c r="C478" s="487"/>
      <c r="D478" s="487"/>
      <c r="E478" s="487"/>
      <c r="F478" s="487"/>
      <c r="G478" s="487"/>
      <c r="H478" s="487"/>
      <c r="I478" s="487"/>
      <c r="J478" s="487"/>
      <c r="K478" s="487"/>
      <c r="L478" s="487"/>
      <c r="M478" s="487"/>
      <c r="N478" s="487"/>
      <c r="O478" s="487"/>
      <c r="P478" s="487"/>
    </row>
    <row r="479" spans="1:16" ht="12.75" x14ac:dyDescent="0.2">
      <c r="A479" s="487"/>
      <c r="B479" s="487"/>
      <c r="C479" s="487"/>
      <c r="D479" s="487"/>
      <c r="E479" s="487"/>
      <c r="F479" s="487"/>
      <c r="G479" s="487"/>
      <c r="H479" s="487"/>
      <c r="I479" s="487"/>
      <c r="J479" s="487"/>
      <c r="K479" s="487"/>
      <c r="L479" s="487"/>
      <c r="M479" s="487"/>
      <c r="N479" s="487"/>
      <c r="O479" s="487"/>
      <c r="P479" s="487"/>
    </row>
    <row r="480" spans="1:16" ht="12.75" x14ac:dyDescent="0.2">
      <c r="A480" s="487"/>
      <c r="B480" s="487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7"/>
      <c r="P480" s="487"/>
    </row>
    <row r="481" spans="1:16" ht="12.75" x14ac:dyDescent="0.2">
      <c r="A481" s="487"/>
      <c r="B481" s="487"/>
      <c r="C481" s="487"/>
      <c r="D481" s="487"/>
      <c r="E481" s="487"/>
      <c r="F481" s="487"/>
      <c r="G481" s="487"/>
      <c r="H481" s="487"/>
      <c r="I481" s="487"/>
      <c r="J481" s="487"/>
      <c r="K481" s="487"/>
      <c r="L481" s="487"/>
      <c r="M481" s="487"/>
      <c r="N481" s="487"/>
      <c r="O481" s="487"/>
      <c r="P481" s="487"/>
    </row>
    <row r="482" spans="1:16" ht="12.75" x14ac:dyDescent="0.2">
      <c r="A482" s="487"/>
      <c r="B482" s="487"/>
      <c r="C482" s="487"/>
      <c r="D482" s="487"/>
      <c r="E482" s="487"/>
      <c r="F482" s="487"/>
      <c r="G482" s="487"/>
      <c r="H482" s="487"/>
      <c r="I482" s="487"/>
      <c r="J482" s="487"/>
      <c r="K482" s="487"/>
      <c r="L482" s="487"/>
      <c r="M482" s="487"/>
      <c r="N482" s="487"/>
      <c r="O482" s="487"/>
      <c r="P482" s="487"/>
    </row>
    <row r="483" spans="1:16" ht="12.75" x14ac:dyDescent="0.2">
      <c r="A483" s="487"/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</row>
    <row r="484" spans="1:16" ht="12.75" x14ac:dyDescent="0.2">
      <c r="A484" s="487"/>
      <c r="B484" s="487"/>
      <c r="C484" s="487"/>
      <c r="D484" s="487"/>
      <c r="E484" s="487"/>
      <c r="F484" s="487"/>
      <c r="G484" s="487"/>
      <c r="H484" s="487"/>
      <c r="I484" s="487"/>
      <c r="J484" s="487"/>
      <c r="K484" s="487"/>
      <c r="L484" s="487"/>
      <c r="M484" s="487"/>
      <c r="N484" s="487"/>
      <c r="O484" s="487"/>
      <c r="P484" s="487"/>
    </row>
    <row r="485" spans="1:16" ht="12.75" x14ac:dyDescent="0.2">
      <c r="A485" s="487"/>
      <c r="B485" s="487"/>
      <c r="C485" s="487"/>
      <c r="D485" s="487"/>
      <c r="E485" s="487"/>
      <c r="F485" s="487"/>
      <c r="G485" s="487"/>
      <c r="H485" s="487"/>
      <c r="I485" s="487"/>
      <c r="J485" s="487"/>
      <c r="K485" s="487"/>
      <c r="L485" s="487"/>
      <c r="M485" s="487"/>
      <c r="N485" s="487"/>
      <c r="O485" s="487"/>
      <c r="P485" s="487"/>
    </row>
    <row r="486" spans="1:16" ht="12.75" x14ac:dyDescent="0.2">
      <c r="A486" s="487"/>
      <c r="B486" s="487"/>
      <c r="C486" s="487"/>
      <c r="D486" s="487"/>
      <c r="E486" s="487"/>
      <c r="F486" s="487"/>
      <c r="G486" s="487"/>
      <c r="H486" s="487"/>
      <c r="I486" s="487"/>
      <c r="J486" s="487"/>
      <c r="K486" s="487"/>
      <c r="L486" s="487"/>
      <c r="M486" s="487"/>
      <c r="N486" s="487"/>
      <c r="O486" s="487"/>
      <c r="P486" s="487"/>
    </row>
    <row r="487" spans="1:16" ht="12.75" x14ac:dyDescent="0.2">
      <c r="A487" s="487"/>
      <c r="B487" s="487"/>
      <c r="C487" s="487"/>
      <c r="D487" s="487"/>
      <c r="E487" s="487"/>
      <c r="F487" s="487"/>
      <c r="G487" s="487"/>
      <c r="H487" s="487"/>
      <c r="I487" s="487"/>
      <c r="J487" s="487"/>
      <c r="K487" s="487"/>
      <c r="L487" s="487"/>
      <c r="M487" s="487"/>
      <c r="N487" s="487"/>
      <c r="O487" s="487"/>
      <c r="P487" s="487"/>
    </row>
    <row r="488" spans="1:16" ht="12.75" x14ac:dyDescent="0.2">
      <c r="A488" s="487"/>
      <c r="B488" s="487"/>
      <c r="C488" s="487"/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7"/>
    </row>
    <row r="489" spans="1:16" ht="12.75" x14ac:dyDescent="0.2">
      <c r="A489" s="487"/>
      <c r="B489" s="487"/>
      <c r="C489" s="487"/>
      <c r="D489" s="487"/>
      <c r="E489" s="487"/>
      <c r="F489" s="487"/>
      <c r="G489" s="487"/>
      <c r="H489" s="487"/>
      <c r="I489" s="487"/>
      <c r="J489" s="487"/>
      <c r="K489" s="487"/>
      <c r="L489" s="487"/>
      <c r="M489" s="487"/>
      <c r="N489" s="487"/>
      <c r="O489" s="487"/>
      <c r="P489" s="487"/>
    </row>
    <row r="490" spans="1:16" ht="12.75" x14ac:dyDescent="0.2">
      <c r="A490" s="487"/>
      <c r="B490" s="487"/>
      <c r="C490" s="487"/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7"/>
    </row>
    <row r="491" spans="1:16" ht="12.75" x14ac:dyDescent="0.2">
      <c r="A491" s="487"/>
      <c r="B491" s="487"/>
      <c r="C491" s="487"/>
      <c r="D491" s="487"/>
      <c r="E491" s="487"/>
      <c r="F491" s="487"/>
      <c r="G491" s="487"/>
      <c r="H491" s="487"/>
      <c r="I491" s="487"/>
      <c r="J491" s="487"/>
      <c r="K491" s="487"/>
      <c r="L491" s="487"/>
      <c r="M491" s="487"/>
      <c r="N491" s="487"/>
      <c r="O491" s="487"/>
      <c r="P491" s="487"/>
    </row>
    <row r="492" spans="1:16" ht="12.75" x14ac:dyDescent="0.2">
      <c r="A492" s="487"/>
      <c r="B492" s="487"/>
      <c r="C492" s="487"/>
      <c r="D492" s="487"/>
      <c r="E492" s="487"/>
      <c r="F492" s="487"/>
      <c r="G492" s="487"/>
      <c r="H492" s="487"/>
      <c r="I492" s="487"/>
      <c r="J492" s="487"/>
      <c r="K492" s="487"/>
      <c r="L492" s="487"/>
      <c r="M492" s="487"/>
      <c r="N492" s="487"/>
      <c r="O492" s="487"/>
      <c r="P492" s="487"/>
    </row>
    <row r="493" spans="1:16" ht="12.75" x14ac:dyDescent="0.2">
      <c r="A493" s="487"/>
      <c r="B493" s="487"/>
      <c r="C493" s="487"/>
      <c r="D493" s="487"/>
      <c r="E493" s="487"/>
      <c r="F493" s="487"/>
      <c r="G493" s="487"/>
      <c r="H493" s="487"/>
      <c r="I493" s="487"/>
      <c r="J493" s="487"/>
      <c r="K493" s="487"/>
      <c r="L493" s="487"/>
      <c r="M493" s="487"/>
      <c r="N493" s="487"/>
      <c r="O493" s="487"/>
      <c r="P493" s="487"/>
    </row>
    <row r="494" spans="1:16" ht="12.75" x14ac:dyDescent="0.2">
      <c r="A494" s="487"/>
      <c r="B494" s="487"/>
      <c r="C494" s="487"/>
      <c r="D494" s="487"/>
      <c r="E494" s="487"/>
      <c r="F494" s="487"/>
      <c r="G494" s="487"/>
      <c r="H494" s="487"/>
      <c r="I494" s="487"/>
      <c r="J494" s="487"/>
      <c r="K494" s="487"/>
      <c r="L494" s="487"/>
      <c r="M494" s="487"/>
      <c r="N494" s="487"/>
      <c r="O494" s="487"/>
      <c r="P494" s="487"/>
    </row>
    <row r="495" spans="1:16" ht="12.75" x14ac:dyDescent="0.2">
      <c r="A495" s="487"/>
      <c r="B495" s="487"/>
      <c r="C495" s="487"/>
      <c r="D495" s="487"/>
      <c r="E495" s="487"/>
      <c r="F495" s="487"/>
      <c r="G495" s="487"/>
      <c r="H495" s="487"/>
      <c r="I495" s="487"/>
      <c r="J495" s="487"/>
      <c r="K495" s="487"/>
      <c r="L495" s="487"/>
      <c r="M495" s="487"/>
      <c r="N495" s="487"/>
      <c r="O495" s="487"/>
      <c r="P495" s="487"/>
    </row>
    <row r="496" spans="1:16" ht="12.75" x14ac:dyDescent="0.2">
      <c r="A496" s="487"/>
      <c r="B496" s="487"/>
      <c r="C496" s="487"/>
      <c r="D496" s="487"/>
      <c r="E496" s="487"/>
      <c r="F496" s="487"/>
      <c r="G496" s="487"/>
      <c r="H496" s="487"/>
      <c r="I496" s="487"/>
      <c r="J496" s="487"/>
      <c r="K496" s="487"/>
      <c r="L496" s="487"/>
      <c r="M496" s="487"/>
      <c r="N496" s="487"/>
      <c r="O496" s="487"/>
      <c r="P496" s="487"/>
    </row>
    <row r="497" spans="1:16" ht="12.75" x14ac:dyDescent="0.2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87"/>
    </row>
    <row r="498" spans="1:16" ht="12.75" x14ac:dyDescent="0.2">
      <c r="A498" s="487"/>
      <c r="B498" s="487"/>
      <c r="C498" s="487"/>
      <c r="D498" s="487"/>
      <c r="E498" s="487"/>
      <c r="F498" s="487"/>
      <c r="G498" s="487"/>
      <c r="H498" s="487"/>
      <c r="I498" s="487"/>
      <c r="J498" s="487"/>
      <c r="K498" s="487"/>
      <c r="L498" s="487"/>
      <c r="M498" s="487"/>
      <c r="N498" s="487"/>
      <c r="O498" s="487"/>
      <c r="P498" s="487"/>
    </row>
    <row r="499" spans="1:16" ht="12.75" x14ac:dyDescent="0.2">
      <c r="A499" s="487"/>
      <c r="B499" s="487"/>
      <c r="C499" s="487"/>
      <c r="D499" s="487"/>
      <c r="E499" s="487"/>
      <c r="F499" s="487"/>
      <c r="G499" s="487"/>
      <c r="H499" s="487"/>
      <c r="I499" s="487"/>
      <c r="J499" s="487"/>
      <c r="K499" s="487"/>
      <c r="L499" s="487"/>
      <c r="M499" s="487"/>
      <c r="N499" s="487"/>
      <c r="O499" s="487"/>
      <c r="P499" s="487"/>
    </row>
    <row r="500" spans="1:16" ht="12.75" x14ac:dyDescent="0.2">
      <c r="A500" s="487"/>
      <c r="B500" s="487"/>
      <c r="C500" s="487"/>
      <c r="D500" s="487"/>
      <c r="E500" s="487"/>
      <c r="F500" s="487"/>
      <c r="G500" s="487"/>
      <c r="H500" s="487"/>
      <c r="I500" s="487"/>
      <c r="J500" s="487"/>
      <c r="K500" s="487"/>
      <c r="L500" s="487"/>
      <c r="M500" s="487"/>
      <c r="N500" s="487"/>
      <c r="O500" s="487"/>
      <c r="P500" s="487"/>
    </row>
    <row r="501" spans="1:16" ht="12.75" x14ac:dyDescent="0.2">
      <c r="A501" s="487"/>
      <c r="B501" s="487"/>
      <c r="C501" s="487"/>
      <c r="D501" s="487"/>
      <c r="E501" s="487"/>
      <c r="F501" s="487"/>
      <c r="G501" s="487"/>
      <c r="H501" s="487"/>
      <c r="I501" s="487"/>
      <c r="J501" s="487"/>
      <c r="K501" s="487"/>
      <c r="L501" s="487"/>
      <c r="M501" s="487"/>
      <c r="N501" s="487"/>
      <c r="O501" s="487"/>
      <c r="P501" s="487"/>
    </row>
    <row r="502" spans="1:16" ht="12.75" x14ac:dyDescent="0.2">
      <c r="A502" s="487"/>
      <c r="B502" s="487"/>
      <c r="C502" s="487"/>
      <c r="D502" s="487"/>
      <c r="E502" s="487"/>
      <c r="F502" s="487"/>
      <c r="G502" s="487"/>
      <c r="H502" s="487"/>
      <c r="I502" s="487"/>
      <c r="J502" s="487"/>
      <c r="K502" s="487"/>
      <c r="L502" s="487"/>
      <c r="M502" s="487"/>
      <c r="N502" s="487"/>
      <c r="O502" s="487"/>
      <c r="P502" s="487"/>
    </row>
    <row r="503" spans="1:16" ht="12.75" x14ac:dyDescent="0.2">
      <c r="A503" s="487"/>
      <c r="B503" s="487"/>
      <c r="C503" s="487"/>
      <c r="D503" s="487"/>
      <c r="E503" s="487"/>
      <c r="F503" s="487"/>
      <c r="G503" s="487"/>
      <c r="H503" s="487"/>
      <c r="I503" s="487"/>
      <c r="J503" s="487"/>
      <c r="K503" s="487"/>
      <c r="L503" s="487"/>
      <c r="M503" s="487"/>
      <c r="N503" s="487"/>
      <c r="O503" s="487"/>
      <c r="P503" s="487"/>
    </row>
    <row r="504" spans="1:16" ht="12.75" x14ac:dyDescent="0.2">
      <c r="A504" s="487"/>
      <c r="B504" s="487"/>
      <c r="C504" s="487"/>
      <c r="D504" s="487"/>
      <c r="E504" s="487"/>
      <c r="F504" s="487"/>
      <c r="G504" s="487"/>
      <c r="H504" s="487"/>
      <c r="I504" s="487"/>
      <c r="J504" s="487"/>
      <c r="K504" s="487"/>
      <c r="L504" s="487"/>
      <c r="M504" s="487"/>
      <c r="N504" s="487"/>
      <c r="O504" s="487"/>
      <c r="P504" s="487"/>
    </row>
    <row r="505" spans="1:16" ht="12.75" x14ac:dyDescent="0.2">
      <c r="A505" s="487"/>
      <c r="B505" s="487"/>
      <c r="C505" s="487"/>
      <c r="D505" s="487"/>
      <c r="E505" s="487"/>
      <c r="F505" s="487"/>
      <c r="G505" s="487"/>
      <c r="H505" s="487"/>
      <c r="I505" s="487"/>
      <c r="J505" s="487"/>
      <c r="K505" s="487"/>
      <c r="L505" s="487"/>
      <c r="M505" s="487"/>
      <c r="N505" s="487"/>
      <c r="O505" s="487"/>
      <c r="P505" s="487"/>
    </row>
    <row r="506" spans="1:16" ht="12.75" x14ac:dyDescent="0.2">
      <c r="A506" s="487"/>
      <c r="B506" s="487"/>
      <c r="C506" s="487"/>
      <c r="D506" s="487"/>
      <c r="E506" s="487"/>
      <c r="F506" s="487"/>
      <c r="G506" s="487"/>
      <c r="H506" s="487"/>
      <c r="I506" s="487"/>
      <c r="J506" s="487"/>
      <c r="K506" s="487"/>
      <c r="L506" s="487"/>
      <c r="M506" s="487"/>
      <c r="N506" s="487"/>
      <c r="O506" s="487"/>
      <c r="P506" s="487"/>
    </row>
    <row r="507" spans="1:16" ht="12.75" x14ac:dyDescent="0.2">
      <c r="A507" s="487"/>
      <c r="B507" s="487"/>
      <c r="C507" s="487"/>
      <c r="D507" s="487"/>
      <c r="E507" s="487"/>
      <c r="F507" s="487"/>
      <c r="G507" s="487"/>
      <c r="H507" s="487"/>
      <c r="I507" s="487"/>
      <c r="J507" s="487"/>
      <c r="K507" s="487"/>
      <c r="L507" s="487"/>
      <c r="M507" s="487"/>
      <c r="N507" s="487"/>
      <c r="O507" s="487"/>
      <c r="P507" s="487"/>
    </row>
    <row r="508" spans="1:16" ht="12.75" x14ac:dyDescent="0.2">
      <c r="A508" s="487"/>
      <c r="B508" s="487"/>
      <c r="C508" s="487"/>
      <c r="D508" s="487"/>
      <c r="E508" s="487"/>
      <c r="F508" s="487"/>
      <c r="G508" s="487"/>
      <c r="H508" s="487"/>
      <c r="I508" s="487"/>
      <c r="J508" s="487"/>
      <c r="K508" s="487"/>
      <c r="L508" s="487"/>
      <c r="M508" s="487"/>
      <c r="N508" s="487"/>
      <c r="O508" s="487"/>
      <c r="P508" s="487"/>
    </row>
    <row r="509" spans="1:16" ht="12.75" x14ac:dyDescent="0.2">
      <c r="A509" s="487"/>
      <c r="B509" s="487"/>
      <c r="C509" s="487"/>
      <c r="D509" s="487"/>
      <c r="E509" s="487"/>
      <c r="F509" s="487"/>
      <c r="G509" s="487"/>
      <c r="H509" s="487"/>
      <c r="I509" s="487"/>
      <c r="J509" s="487"/>
      <c r="K509" s="487"/>
      <c r="L509" s="487"/>
      <c r="M509" s="487"/>
      <c r="N509" s="487"/>
      <c r="O509" s="487"/>
      <c r="P509" s="487"/>
    </row>
    <row r="510" spans="1:16" ht="12.75" x14ac:dyDescent="0.2">
      <c r="A510" s="487"/>
      <c r="B510" s="487"/>
      <c r="C510" s="487"/>
      <c r="D510" s="487"/>
      <c r="E510" s="487"/>
      <c r="F510" s="487"/>
      <c r="G510" s="487"/>
      <c r="H510" s="487"/>
      <c r="I510" s="487"/>
      <c r="J510" s="487"/>
      <c r="K510" s="487"/>
      <c r="L510" s="487"/>
      <c r="M510" s="487"/>
      <c r="N510" s="487"/>
      <c r="O510" s="487"/>
      <c r="P510" s="487"/>
    </row>
    <row r="511" spans="1:16" ht="12.75" x14ac:dyDescent="0.2">
      <c r="A511" s="487"/>
      <c r="B511" s="487"/>
      <c r="C511" s="487"/>
      <c r="D511" s="487"/>
      <c r="E511" s="487"/>
      <c r="F511" s="487"/>
      <c r="G511" s="487"/>
      <c r="H511" s="487"/>
      <c r="I511" s="487"/>
      <c r="J511" s="487"/>
      <c r="K511" s="487"/>
      <c r="L511" s="487"/>
      <c r="M511" s="487"/>
      <c r="N511" s="487"/>
      <c r="O511" s="487"/>
      <c r="P511" s="487"/>
    </row>
    <row r="512" spans="1:16" ht="12.75" x14ac:dyDescent="0.2">
      <c r="A512" s="487"/>
      <c r="B512" s="487"/>
      <c r="C512" s="487"/>
      <c r="D512" s="487"/>
      <c r="E512" s="487"/>
      <c r="F512" s="487"/>
      <c r="G512" s="487"/>
      <c r="H512" s="487"/>
      <c r="I512" s="487"/>
      <c r="J512" s="487"/>
      <c r="K512" s="487"/>
      <c r="L512" s="487"/>
      <c r="M512" s="487"/>
      <c r="N512" s="487"/>
      <c r="O512" s="487"/>
      <c r="P512" s="487"/>
    </row>
    <row r="513" spans="1:16" ht="12.75" x14ac:dyDescent="0.2">
      <c r="A513" s="487"/>
      <c r="B513" s="487"/>
      <c r="C513" s="487"/>
      <c r="D513" s="487"/>
      <c r="E513" s="487"/>
      <c r="F513" s="487"/>
      <c r="G513" s="487"/>
      <c r="H513" s="487"/>
      <c r="I513" s="487"/>
      <c r="J513" s="487"/>
      <c r="K513" s="487"/>
      <c r="L513" s="487"/>
      <c r="M513" s="487"/>
      <c r="N513" s="487"/>
      <c r="O513" s="487"/>
      <c r="P513" s="487"/>
    </row>
    <row r="514" spans="1:16" ht="12.75" x14ac:dyDescent="0.2">
      <c r="A514" s="487"/>
      <c r="B514" s="487"/>
      <c r="C514" s="487"/>
      <c r="D514" s="487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487"/>
      <c r="P514" s="487"/>
    </row>
    <row r="515" spans="1:16" ht="12.75" x14ac:dyDescent="0.2">
      <c r="A515" s="487"/>
      <c r="B515" s="487"/>
      <c r="C515" s="487"/>
      <c r="D515" s="487"/>
      <c r="E515" s="487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</row>
    <row r="516" spans="1:16" ht="12.75" x14ac:dyDescent="0.2">
      <c r="A516" s="487"/>
      <c r="B516" s="487"/>
      <c r="C516" s="487"/>
      <c r="D516" s="487"/>
      <c r="E516" s="487"/>
      <c r="F516" s="487"/>
      <c r="G516" s="487"/>
      <c r="H516" s="487"/>
      <c r="I516" s="487"/>
      <c r="J516" s="487"/>
      <c r="K516" s="487"/>
      <c r="L516" s="487"/>
      <c r="M516" s="487"/>
      <c r="N516" s="487"/>
      <c r="O516" s="487"/>
      <c r="P516" s="487"/>
    </row>
    <row r="517" spans="1:16" ht="12.75" x14ac:dyDescent="0.2">
      <c r="A517" s="487"/>
      <c r="B517" s="487"/>
      <c r="C517" s="487"/>
      <c r="D517" s="487"/>
      <c r="E517" s="487"/>
      <c r="F517" s="487"/>
      <c r="G517" s="487"/>
      <c r="H517" s="487"/>
      <c r="I517" s="487"/>
      <c r="J517" s="487"/>
      <c r="K517" s="487"/>
      <c r="L517" s="487"/>
      <c r="M517" s="487"/>
      <c r="N517" s="487"/>
      <c r="O517" s="487"/>
      <c r="P517" s="487"/>
    </row>
    <row r="518" spans="1:16" ht="12.75" x14ac:dyDescent="0.2">
      <c r="A518" s="487"/>
      <c r="B518" s="487"/>
      <c r="C518" s="487"/>
      <c r="D518" s="487"/>
      <c r="E518" s="487"/>
      <c r="F518" s="487"/>
      <c r="G518" s="487"/>
      <c r="H518" s="487"/>
      <c r="I518" s="487"/>
      <c r="J518" s="487"/>
      <c r="K518" s="487"/>
      <c r="L518" s="487"/>
      <c r="M518" s="487"/>
      <c r="N518" s="487"/>
      <c r="O518" s="487"/>
      <c r="P518" s="487"/>
    </row>
    <row r="519" spans="1:16" ht="12.75" x14ac:dyDescent="0.2">
      <c r="A519" s="487"/>
      <c r="B519" s="487"/>
      <c r="C519" s="487"/>
      <c r="D519" s="487"/>
      <c r="E519" s="487"/>
      <c r="F519" s="487"/>
      <c r="G519" s="487"/>
      <c r="H519" s="487"/>
      <c r="I519" s="487"/>
      <c r="J519" s="487"/>
      <c r="K519" s="487"/>
      <c r="L519" s="487"/>
      <c r="M519" s="487"/>
      <c r="N519" s="487"/>
      <c r="O519" s="487"/>
      <c r="P519" s="487"/>
    </row>
    <row r="520" spans="1:16" ht="12.75" x14ac:dyDescent="0.2">
      <c r="A520" s="487"/>
      <c r="B520" s="487"/>
      <c r="C520" s="487"/>
      <c r="D520" s="487"/>
      <c r="E520" s="487"/>
      <c r="F520" s="487"/>
      <c r="G520" s="487"/>
      <c r="H520" s="487"/>
      <c r="I520" s="487"/>
      <c r="J520" s="487"/>
      <c r="K520" s="487"/>
      <c r="L520" s="487"/>
      <c r="M520" s="487"/>
      <c r="N520" s="487"/>
      <c r="O520" s="487"/>
      <c r="P520" s="487"/>
    </row>
    <row r="521" spans="1:16" ht="12.75" x14ac:dyDescent="0.2">
      <c r="A521" s="487"/>
      <c r="B521" s="487"/>
      <c r="C521" s="487"/>
      <c r="D521" s="487"/>
      <c r="E521" s="487"/>
      <c r="F521" s="487"/>
      <c r="G521" s="487"/>
      <c r="H521" s="487"/>
      <c r="I521" s="487"/>
      <c r="J521" s="487"/>
      <c r="K521" s="487"/>
      <c r="L521" s="487"/>
      <c r="M521" s="487"/>
      <c r="N521" s="487"/>
      <c r="O521" s="487"/>
      <c r="P521" s="487"/>
    </row>
    <row r="522" spans="1:16" ht="12.75" x14ac:dyDescent="0.2">
      <c r="A522" s="487"/>
      <c r="B522" s="487"/>
      <c r="C522" s="487"/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7"/>
      <c r="P522" s="487"/>
    </row>
    <row r="523" spans="1:16" ht="12.75" x14ac:dyDescent="0.2">
      <c r="A523" s="487"/>
      <c r="B523" s="487"/>
      <c r="C523" s="487"/>
      <c r="D523" s="487"/>
      <c r="E523" s="487"/>
      <c r="F523" s="487"/>
      <c r="G523" s="487"/>
      <c r="H523" s="487"/>
      <c r="I523" s="487"/>
      <c r="J523" s="487"/>
      <c r="K523" s="487"/>
      <c r="L523" s="487"/>
      <c r="M523" s="487"/>
      <c r="N523" s="487"/>
      <c r="O523" s="487"/>
      <c r="P523" s="487"/>
    </row>
    <row r="524" spans="1:16" ht="12.75" x14ac:dyDescent="0.2">
      <c r="A524" s="487"/>
      <c r="B524" s="487"/>
      <c r="C524" s="487"/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7"/>
      <c r="P524" s="487"/>
    </row>
    <row r="525" spans="1:16" ht="12.75" x14ac:dyDescent="0.2">
      <c r="A525" s="487"/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</row>
    <row r="526" spans="1:16" ht="12.75" x14ac:dyDescent="0.2">
      <c r="A526" s="487"/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</row>
    <row r="527" spans="1:16" ht="12.75" x14ac:dyDescent="0.2">
      <c r="A527" s="487"/>
      <c r="B527" s="487"/>
      <c r="C527" s="487"/>
      <c r="D527" s="487"/>
      <c r="E527" s="487"/>
      <c r="F527" s="487"/>
      <c r="G527" s="487"/>
      <c r="H527" s="487"/>
      <c r="I527" s="487"/>
      <c r="J527" s="487"/>
      <c r="K527" s="487"/>
      <c r="L527" s="487"/>
      <c r="M527" s="487"/>
      <c r="N527" s="487"/>
      <c r="O527" s="487"/>
      <c r="P527" s="487"/>
    </row>
    <row r="528" spans="1:16" ht="12.75" x14ac:dyDescent="0.2">
      <c r="A528" s="487"/>
      <c r="B528" s="487"/>
      <c r="C528" s="487"/>
      <c r="D528" s="487"/>
      <c r="E528" s="487"/>
      <c r="F528" s="487"/>
      <c r="G528" s="487"/>
      <c r="H528" s="487"/>
      <c r="I528" s="487"/>
      <c r="J528" s="487"/>
      <c r="K528" s="487"/>
      <c r="L528" s="487"/>
      <c r="M528" s="487"/>
      <c r="N528" s="487"/>
      <c r="O528" s="487"/>
      <c r="P528" s="487"/>
    </row>
    <row r="529" spans="1:16" ht="12.75" x14ac:dyDescent="0.2">
      <c r="A529" s="487"/>
      <c r="B529" s="487"/>
      <c r="C529" s="487"/>
      <c r="D529" s="487"/>
      <c r="E529" s="487"/>
      <c r="F529" s="487"/>
      <c r="G529" s="487"/>
      <c r="H529" s="487"/>
      <c r="I529" s="487"/>
      <c r="J529" s="487"/>
      <c r="K529" s="487"/>
      <c r="L529" s="487"/>
      <c r="M529" s="487"/>
      <c r="N529" s="487"/>
      <c r="O529" s="487"/>
      <c r="P529" s="487"/>
    </row>
    <row r="530" spans="1:16" ht="12.75" x14ac:dyDescent="0.2">
      <c r="A530" s="487"/>
      <c r="B530" s="487"/>
      <c r="C530" s="487"/>
      <c r="D530" s="487"/>
      <c r="E530" s="487"/>
      <c r="F530" s="487"/>
      <c r="G530" s="487"/>
      <c r="H530" s="487"/>
      <c r="I530" s="487"/>
      <c r="J530" s="487"/>
      <c r="K530" s="487"/>
      <c r="L530" s="487"/>
      <c r="M530" s="487"/>
      <c r="N530" s="487"/>
      <c r="O530" s="487"/>
      <c r="P530" s="487"/>
    </row>
    <row r="531" spans="1:16" ht="12.75" x14ac:dyDescent="0.2">
      <c r="A531" s="487"/>
      <c r="B531" s="487"/>
      <c r="C531" s="487"/>
      <c r="D531" s="487"/>
      <c r="E531" s="487"/>
      <c r="F531" s="487"/>
      <c r="G531" s="487"/>
      <c r="H531" s="487"/>
      <c r="I531" s="487"/>
      <c r="J531" s="487"/>
      <c r="K531" s="487"/>
      <c r="L531" s="487"/>
      <c r="M531" s="487"/>
      <c r="N531" s="487"/>
      <c r="O531" s="487"/>
      <c r="P531" s="487"/>
    </row>
    <row r="532" spans="1:16" ht="12.75" x14ac:dyDescent="0.2">
      <c r="A532" s="487"/>
      <c r="B532" s="487"/>
      <c r="C532" s="487"/>
      <c r="D532" s="487"/>
      <c r="E532" s="487"/>
      <c r="F532" s="487"/>
      <c r="G532" s="487"/>
      <c r="H532" s="487"/>
      <c r="I532" s="487"/>
      <c r="J532" s="487"/>
      <c r="K532" s="487"/>
      <c r="L532" s="487"/>
      <c r="M532" s="487"/>
      <c r="N532" s="487"/>
      <c r="O532" s="487"/>
      <c r="P532" s="487"/>
    </row>
    <row r="533" spans="1:16" ht="12.75" x14ac:dyDescent="0.2">
      <c r="A533" s="487"/>
      <c r="B533" s="487"/>
      <c r="C533" s="487"/>
      <c r="D533" s="487"/>
      <c r="E533" s="487"/>
      <c r="F533" s="487"/>
      <c r="G533" s="487"/>
      <c r="H533" s="487"/>
      <c r="I533" s="487"/>
      <c r="J533" s="487"/>
      <c r="K533" s="487"/>
      <c r="L533" s="487"/>
      <c r="M533" s="487"/>
      <c r="N533" s="487"/>
      <c r="O533" s="487"/>
      <c r="P533" s="487"/>
    </row>
    <row r="534" spans="1:16" ht="12.75" x14ac:dyDescent="0.2">
      <c r="A534" s="487"/>
      <c r="B534" s="487"/>
      <c r="C534" s="487"/>
      <c r="D534" s="487"/>
      <c r="E534" s="487"/>
      <c r="F534" s="487"/>
      <c r="G534" s="487"/>
      <c r="H534" s="487"/>
      <c r="I534" s="487"/>
      <c r="J534" s="487"/>
      <c r="K534" s="487"/>
      <c r="L534" s="487"/>
      <c r="M534" s="487"/>
      <c r="N534" s="487"/>
      <c r="O534" s="487"/>
      <c r="P534" s="487"/>
    </row>
    <row r="535" spans="1:16" ht="12.75" x14ac:dyDescent="0.2">
      <c r="A535" s="487"/>
      <c r="B535" s="487"/>
      <c r="C535" s="487"/>
      <c r="D535" s="487"/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</row>
    <row r="536" spans="1:16" ht="12.75" x14ac:dyDescent="0.2">
      <c r="A536" s="487"/>
      <c r="B536" s="487"/>
      <c r="C536" s="487"/>
      <c r="D536" s="487"/>
      <c r="E536" s="487"/>
      <c r="F536" s="487"/>
      <c r="G536" s="487"/>
      <c r="H536" s="487"/>
      <c r="I536" s="487"/>
      <c r="J536" s="487"/>
      <c r="K536" s="487"/>
      <c r="L536" s="487"/>
      <c r="M536" s="487"/>
      <c r="N536" s="487"/>
      <c r="O536" s="487"/>
      <c r="P536" s="487"/>
    </row>
    <row r="537" spans="1:16" ht="12.75" x14ac:dyDescent="0.2">
      <c r="A537" s="487"/>
      <c r="B537" s="487"/>
      <c r="C537" s="487"/>
      <c r="D537" s="487"/>
      <c r="E537" s="487"/>
      <c r="F537" s="487"/>
      <c r="G537" s="487"/>
      <c r="H537" s="487"/>
      <c r="I537" s="487"/>
      <c r="J537" s="487"/>
      <c r="K537" s="487"/>
      <c r="L537" s="487"/>
      <c r="M537" s="487"/>
      <c r="N537" s="487"/>
      <c r="O537" s="487"/>
      <c r="P537" s="487"/>
    </row>
    <row r="538" spans="1:16" ht="12.75" x14ac:dyDescent="0.2">
      <c r="A538" s="487"/>
      <c r="B538" s="487"/>
      <c r="C538" s="487"/>
      <c r="D538" s="487"/>
      <c r="E538" s="487"/>
      <c r="F538" s="487"/>
      <c r="G538" s="487"/>
      <c r="H538" s="487"/>
      <c r="I538" s="487"/>
      <c r="J538" s="487"/>
      <c r="K538" s="487"/>
      <c r="L538" s="487"/>
      <c r="M538" s="487"/>
      <c r="N538" s="487"/>
      <c r="O538" s="487"/>
      <c r="P538" s="487"/>
    </row>
    <row r="539" spans="1:16" ht="12.75" x14ac:dyDescent="0.2">
      <c r="A539" s="487"/>
      <c r="B539" s="487"/>
      <c r="C539" s="487"/>
      <c r="D539" s="487"/>
      <c r="E539" s="487"/>
      <c r="F539" s="487"/>
      <c r="G539" s="487"/>
      <c r="H539" s="487"/>
      <c r="I539" s="487"/>
      <c r="J539" s="487"/>
      <c r="K539" s="487"/>
      <c r="L539" s="487"/>
      <c r="M539" s="487"/>
      <c r="N539" s="487"/>
      <c r="O539" s="487"/>
      <c r="P539" s="487"/>
    </row>
    <row r="540" spans="1:16" ht="12.75" x14ac:dyDescent="0.2">
      <c r="A540" s="487"/>
      <c r="B540" s="487"/>
      <c r="C540" s="487"/>
      <c r="D540" s="487"/>
      <c r="E540" s="487"/>
      <c r="F540" s="487"/>
      <c r="G540" s="487"/>
      <c r="H540" s="487"/>
      <c r="I540" s="487"/>
      <c r="J540" s="487"/>
      <c r="K540" s="487"/>
      <c r="L540" s="487"/>
      <c r="M540" s="487"/>
      <c r="N540" s="487"/>
      <c r="O540" s="487"/>
      <c r="P540" s="487"/>
    </row>
    <row r="541" spans="1:16" ht="12.75" x14ac:dyDescent="0.2">
      <c r="A541" s="487"/>
      <c r="B541" s="487"/>
      <c r="C541" s="487"/>
      <c r="D541" s="487"/>
      <c r="E541" s="487"/>
      <c r="F541" s="487"/>
      <c r="G541" s="487"/>
      <c r="H541" s="487"/>
      <c r="I541" s="487"/>
      <c r="J541" s="487"/>
      <c r="K541" s="487"/>
      <c r="L541" s="487"/>
      <c r="M541" s="487"/>
      <c r="N541" s="487"/>
      <c r="O541" s="487"/>
      <c r="P541" s="487"/>
    </row>
    <row r="542" spans="1:16" ht="12.75" x14ac:dyDescent="0.2">
      <c r="A542" s="487"/>
      <c r="B542" s="487"/>
      <c r="C542" s="487"/>
      <c r="D542" s="487"/>
      <c r="E542" s="487"/>
      <c r="F542" s="487"/>
      <c r="G542" s="487"/>
      <c r="H542" s="487"/>
      <c r="I542" s="487"/>
      <c r="J542" s="487"/>
      <c r="K542" s="487"/>
      <c r="L542" s="487"/>
      <c r="M542" s="487"/>
      <c r="N542" s="487"/>
      <c r="O542" s="487"/>
      <c r="P542" s="487"/>
    </row>
    <row r="543" spans="1:16" ht="12.75" x14ac:dyDescent="0.2">
      <c r="A543" s="487"/>
      <c r="B543" s="487"/>
      <c r="C543" s="487"/>
      <c r="D543" s="487"/>
      <c r="E543" s="487"/>
      <c r="F543" s="487"/>
      <c r="G543" s="487"/>
      <c r="H543" s="487"/>
      <c r="I543" s="487"/>
      <c r="J543" s="487"/>
      <c r="K543" s="487"/>
      <c r="L543" s="487"/>
      <c r="M543" s="487"/>
      <c r="N543" s="487"/>
      <c r="O543" s="487"/>
      <c r="P543" s="487"/>
    </row>
    <row r="544" spans="1:16" ht="12.75" x14ac:dyDescent="0.2">
      <c r="A544" s="487"/>
      <c r="B544" s="487"/>
      <c r="C544" s="487"/>
      <c r="D544" s="487"/>
      <c r="E544" s="487"/>
      <c r="F544" s="487"/>
      <c r="G544" s="487"/>
      <c r="H544" s="487"/>
      <c r="I544" s="487"/>
      <c r="J544" s="487"/>
      <c r="K544" s="487"/>
      <c r="L544" s="487"/>
      <c r="M544" s="487"/>
      <c r="N544" s="487"/>
      <c r="O544" s="487"/>
      <c r="P544" s="487"/>
    </row>
    <row r="545" spans="1:16" ht="12.75" x14ac:dyDescent="0.2">
      <c r="A545" s="487"/>
      <c r="B545" s="487"/>
      <c r="C545" s="487"/>
      <c r="D545" s="487"/>
      <c r="E545" s="487"/>
      <c r="F545" s="487"/>
      <c r="G545" s="487"/>
      <c r="H545" s="487"/>
      <c r="I545" s="487"/>
      <c r="J545" s="487"/>
      <c r="K545" s="487"/>
      <c r="L545" s="487"/>
      <c r="M545" s="487"/>
      <c r="N545" s="487"/>
      <c r="O545" s="487"/>
      <c r="P545" s="487"/>
    </row>
  </sheetData>
  <mergeCells count="12">
    <mergeCell ref="A7:G7"/>
    <mergeCell ref="A17:G17"/>
    <mergeCell ref="A30:G30"/>
    <mergeCell ref="A56:G56"/>
    <mergeCell ref="B57:G57"/>
    <mergeCell ref="L5:M5"/>
    <mergeCell ref="N5:P5"/>
    <mergeCell ref="A1:P1"/>
    <mergeCell ref="A2:P2"/>
    <mergeCell ref="A3:P3"/>
    <mergeCell ref="A5:G6"/>
    <mergeCell ref="I5:K5"/>
  </mergeCells>
  <pageMargins left="0.23622047244094491" right="0.23622047244094491" top="0.55118110236220474" bottom="0.55118110236220474" header="0.31496062992125984" footer="0.31496062992125984"/>
  <pageSetup paperSize="9" scale="42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9F0AE-DACB-4CAA-9BF2-D9D7D31D242C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260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1622880</v>
      </c>
      <c r="M18" s="843">
        <f ca="1">M19+M20</f>
        <v>1313180</v>
      </c>
      <c r="N18" s="843">
        <f ca="1">N19+N20</f>
        <v>694171.32000000007</v>
      </c>
      <c r="O18" s="843">
        <f t="shared" ref="O18:O26" ca="1" si="0">IF(L18&gt;0,N18*100/L18,0)</f>
        <v>42.774038745933154</v>
      </c>
      <c r="P18" s="843">
        <f t="shared" ref="P18:P26" ca="1" si="1">IF(M18&gt;0,N18*100/M18,0)</f>
        <v>52.861855952725442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1622880</v>
      </c>
      <c r="M20" s="947">
        <f t="shared" ca="1" si="2"/>
        <v>1313180</v>
      </c>
      <c r="N20" s="947">
        <f t="shared" ca="1" si="2"/>
        <v>694171.32000000007</v>
      </c>
      <c r="O20" s="947">
        <f t="shared" ca="1" si="0"/>
        <v>42.774038745933154</v>
      </c>
      <c r="P20" s="947">
        <f t="shared" ca="1" si="1"/>
        <v>52.861855952725442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1622880</v>
      </c>
      <c r="M21" s="427">
        <f ca="1">M22+M23</f>
        <v>1313180</v>
      </c>
      <c r="N21" s="427">
        <f ca="1">N22+N23</f>
        <v>694171.32000000007</v>
      </c>
      <c r="O21" s="427">
        <f t="shared" ca="1" si="0"/>
        <v>42.774038745933154</v>
      </c>
      <c r="P21" s="427">
        <f t="shared" ca="1" si="1"/>
        <v>52.861855952725442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1622880</v>
      </c>
      <c r="M23" s="427">
        <f t="shared" ca="1" si="3"/>
        <v>1313180</v>
      </c>
      <c r="N23" s="427">
        <f t="shared" ca="1" si="3"/>
        <v>694171.32000000007</v>
      </c>
      <c r="O23" s="427">
        <f t="shared" ca="1" si="0"/>
        <v>42.774038745933154</v>
      </c>
      <c r="P23" s="427">
        <f t="shared" ca="1" si="1"/>
        <v>52.861855952725442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1622880</v>
      </c>
      <c r="M40" s="940">
        <f ca="1">M44+M59+M72+M94+M125+M139+M157+M173+M186+M266+M282+M303+M320+M333+M356</f>
        <v>1313180</v>
      </c>
      <c r="N40" s="940">
        <f ca="1">N44+N59+N72+N94+N125+N139+N157+N173+N186+N266+N282+N303+N320+N333+N356</f>
        <v>694171.32000000007</v>
      </c>
      <c r="O40" s="940">
        <f ca="1">IF(L40&gt;0,N40*100/L40,0)</f>
        <v>42.774038745933154</v>
      </c>
      <c r="P40" s="940">
        <f ca="1">IF(M40&gt;0,N40*100/M40,0)</f>
        <v>52.861855952725442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307900</v>
      </c>
      <c r="M44" s="925">
        <f ca="1">M45+M46</f>
        <v>312400</v>
      </c>
      <c r="N44" s="925">
        <f ca="1">N45+N46</f>
        <v>193100</v>
      </c>
      <c r="O44" s="925">
        <f t="shared" ref="O44:O52" ca="1" si="5">IF(L44&gt;0,N44*100/L44,0)</f>
        <v>62.715167262098085</v>
      </c>
      <c r="P44" s="925">
        <f t="shared" ref="P44:P52" ca="1" si="6">IF(M44&gt;0,N44*100/M44,0)</f>
        <v>61.811779769526247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307900</v>
      </c>
      <c r="M46" s="917">
        <f t="shared" ca="1" si="7"/>
        <v>312400</v>
      </c>
      <c r="N46" s="917">
        <f t="shared" ca="1" si="7"/>
        <v>193100</v>
      </c>
      <c r="O46" s="917">
        <f t="shared" ca="1" si="5"/>
        <v>62.715167262098085</v>
      </c>
      <c r="P46" s="917">
        <f t="shared" ca="1" si="6"/>
        <v>61.811779769526247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307900</v>
      </c>
      <c r="M47" s="427">
        <f ca="1">M48+M49</f>
        <v>312400</v>
      </c>
      <c r="N47" s="427">
        <f ca="1">N48+N49</f>
        <v>193100</v>
      </c>
      <c r="O47" s="427">
        <f t="shared" ca="1" si="5"/>
        <v>62.715167262098085</v>
      </c>
      <c r="P47" s="427">
        <f t="shared" ca="1" si="6"/>
        <v>61.811779769526247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IFERROR(__xludf.DUMMYFUNCTION("IMPORTRANGE(""https://docs.google.com/spreadsheets/d/1-uDff_7J0KD5mKrp0Vvzr7lt3OU09vwQwhkpOPPYv2Y/edit?usp=sharing"",""งบพรบ!P61"")"),307900)</f>
        <v>307900</v>
      </c>
      <c r="M49" s="427">
        <f ca="1">IFERROR(__xludf.DUMMYFUNCTION("IMPORTRANGE(""https://docs.google.com/spreadsheets/d/1-uDff_7J0KD5mKrp0Vvzr7lt3OU09vwQwhkpOPPYv2Y/edit?usp=sharing"",""งบพรบ!V61"")"),312400)</f>
        <v>312400</v>
      </c>
      <c r="N49" s="427">
        <f ca="1">IFERROR(__xludf.DUMMYFUNCTION("IMPORTRANGE(""https://docs.google.com/spreadsheets/d/1-uDff_7J0KD5mKrp0Vvzr7lt3OU09vwQwhkpOPPYv2Y/edit?usp=sharing"",""งบพรบ!Y61"")"),193100)</f>
        <v>193100</v>
      </c>
      <c r="O49" s="427">
        <f t="shared" ca="1" si="5"/>
        <v>62.715167262098085</v>
      </c>
      <c r="P49" s="427">
        <f t="shared" ca="1" si="6"/>
        <v>61.811779769526247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IFERROR(__xludf.DUMMYFUNCTION("IMPORTRANGE(""https://docs.google.com/spreadsheets/d/1-uDff_7J0KD5mKrp0Vvzr7lt3OU09vwQwhkpOPPYv2Y/edit?usp=sharing"",""งบพรบ!S61"")"),0)</f>
        <v>0</v>
      </c>
      <c r="M52" s="427">
        <f ca="1">IFERROR(__xludf.DUMMYFUNCTION("IMPORTRANGE(""https://docs.google.com/spreadsheets/d/1-uDff_7J0KD5mKrp0Vvzr7lt3OU09vwQwhkpOPPYv2Y/edit?usp=sharing"",""งบพรบ!W61"")"),0)</f>
        <v>0</v>
      </c>
      <c r="N52" s="427">
        <f ca="1">IFERROR(__xludf.DUMMYFUNCTION("IMPORTRANGE(""https://docs.google.com/spreadsheets/d/1-uDff_7J0KD5mKrp0Vvzr7lt3OU09vwQwhkpOPPYv2Y/edit?usp=sharing"",""งบพรบ!Z61"")"),0)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450500</v>
      </c>
      <c r="M59" s="899">
        <f ca="1">M60+M61</f>
        <v>339950</v>
      </c>
      <c r="N59" s="899">
        <f ca="1">N60+N61</f>
        <v>249027.26</v>
      </c>
      <c r="O59" s="899">
        <f t="shared" ref="O59:O67" ca="1" si="8">IF(L59&gt;0,N59*100/L59,0)</f>
        <v>55.277971143174248</v>
      </c>
      <c r="P59" s="899">
        <f t="shared" ref="P59:P67" ca="1" si="9">IF(M59&gt;0,N59*100/M59,0)</f>
        <v>73.254084424180022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450500</v>
      </c>
      <c r="M61" s="891">
        <f t="shared" ca="1" si="10"/>
        <v>339950</v>
      </c>
      <c r="N61" s="891">
        <f t="shared" ca="1" si="10"/>
        <v>249027.26</v>
      </c>
      <c r="O61" s="891">
        <f t="shared" ca="1" si="8"/>
        <v>55.277971143174248</v>
      </c>
      <c r="P61" s="891">
        <f t="shared" ca="1" si="9"/>
        <v>73.254084424180022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450500</v>
      </c>
      <c r="M62" s="427">
        <f ca="1">M63+M64</f>
        <v>339950</v>
      </c>
      <c r="N62" s="427">
        <f ca="1">N63+N64</f>
        <v>249027.26</v>
      </c>
      <c r="O62" s="427">
        <f t="shared" ca="1" si="8"/>
        <v>55.277971143174248</v>
      </c>
      <c r="P62" s="427">
        <f t="shared" ca="1" si="9"/>
        <v>73.254084424180022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IFERROR(__xludf.DUMMYFUNCTION("IMPORTRANGE(""https://docs.google.com/spreadsheets/d/1-uDff_7J0KD5mKrp0Vvzr7lt3OU09vwQwhkpOPPYv2Y/edit?usp=sharing"",""งบพรบ!AC61"")"),450500)</f>
        <v>450500</v>
      </c>
      <c r="M64" s="427">
        <f ca="1">IFERROR(__xludf.DUMMYFUNCTION("IMPORTRANGE(""https://docs.google.com/spreadsheets/d/1-uDff_7J0KD5mKrp0Vvzr7lt3OU09vwQwhkpOPPYv2Y/edit?usp=sharing"",""งบพรบ!AH61"")"),339950)</f>
        <v>339950</v>
      </c>
      <c r="N64" s="427">
        <f ca="1">IFERROR(__xludf.DUMMYFUNCTION("IMPORTRANGE(""https://docs.google.com/spreadsheets/d/1-uDff_7J0KD5mKrp0Vvzr7lt3OU09vwQwhkpOPPYv2Y/edit?usp=sharing"",""งบพรบ!AJ61"")"),249027.26)</f>
        <v>249027.26</v>
      </c>
      <c r="O64" s="427">
        <f t="shared" ca="1" si="8"/>
        <v>55.277971143174248</v>
      </c>
      <c r="P64" s="427">
        <f t="shared" ca="1" si="9"/>
        <v>73.254084424180022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IFERROR(__xludf.DUMMYFUNCTION("IMPORTRANGE(""https://docs.google.com/spreadsheets/d/1-uDff_7J0KD5mKrp0Vvzr7lt3OU09vwQwhkpOPPYv2Y/edit?usp=sharing"",""งบพรบ!AF61"")"),0)</f>
        <v>0</v>
      </c>
      <c r="M67" s="624">
        <f ca="1">IFERROR(__xludf.DUMMYFUNCTION("IMPORTRANGE(""https://docs.google.com/spreadsheets/d/1-uDff_7J0KD5mKrp0Vvzr7lt3OU09vwQwhkpOPPYv2Y/edit?usp=sharing"",""งบพรบ!AI61"")"),0)</f>
        <v>0</v>
      </c>
      <c r="N67" s="624">
        <f ca="1">IFERROR(__xludf.DUMMYFUNCTION("IMPORTRANGE(""https://docs.google.com/spreadsheets/d/1-uDff_7J0KD5mKrp0Vvzr7lt3OU09vwQwhkpOPPYv2Y/edit?usp=sharing"",""งบพรบ!AK61"")"),0)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IFERROR(__xludf.DUMMYFUNCTION("IMPORTRANGE(""https://docs.google.com/spreadsheets/d/1-uDff_7J0KD5mKrp0Vvzr7lt3OU09vwQwhkpOPPYv2Y/edit?usp=sharing"",""งบพรบ!AM61"")"),0)</f>
        <v>0</v>
      </c>
      <c r="M77" s="427">
        <f ca="1">IFERROR(__xludf.DUMMYFUNCTION("IMPORTRANGE(""https://docs.google.com/spreadsheets/d/1-uDff_7J0KD5mKrp0Vvzr7lt3OU09vwQwhkpOPPYv2Y/edit?usp=sharing"",""งบพรบ!AR61"")"),0)</f>
        <v>0</v>
      </c>
      <c r="N77" s="427">
        <f ca="1">IFERROR(__xludf.DUMMYFUNCTION("IMPORTRANGE(""https://docs.google.com/spreadsheets/d/1-uDff_7J0KD5mKrp0Vvzr7lt3OU09vwQwhkpOPPYv2Y/edit?usp=sharing"",""งบพรบ!AT61"")"),0)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IFERROR(__xludf.DUMMYFUNCTION("IMPORTRANGE(""https://docs.google.com/spreadsheets/d/1-uDff_7J0KD5mKrp0Vvzr7lt3OU09vwQwhkpOPPYv2Y/edit?usp=sharing"",""งบพรบ!AP61"")"),0)</f>
        <v>0</v>
      </c>
      <c r="M80" s="427">
        <f ca="1">IFERROR(__xludf.DUMMYFUNCTION("IMPORTRANGE(""https://docs.google.com/spreadsheets/d/1-uDff_7J0KD5mKrp0Vvzr7lt3OU09vwQwhkpOPPYv2Y/edit?usp=sharing"",""งบพรบ!AS61"")"),0)</f>
        <v>0</v>
      </c>
      <c r="N80" s="427">
        <f ca="1">IFERROR(__xludf.DUMMYFUNCTION("IMPORTRANGE(""https://docs.google.com/spreadsheets/d/1-uDff_7J0KD5mKrp0Vvzr7lt3OU09vwQwhkpOPPYv2Y/edit?usp=sharing"",""งบพรบ!AU61"")"),0)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IFERROR(__xludf.DUMMYFUNCTION("IMPORTRANGE(""https://docs.google.com/spreadsheets/d/1eHaY18a8A9IcSdp1K8H6x8fbOy06t2VsZHhMHf-1x7Y/edit?usp=sharing"",""แผน!H61"")"),0)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IFERROR(__xludf.DUMMYFUNCTION("IMPORTRANGE(""https://docs.google.com/spreadsheets/d/1eHaY18a8A9IcSdp1K8H6x8fbOy06t2VsZHhMHf-1x7Y/edit?usp=sharing"",""แผน!I61"")"),0)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IFERROR(__xludf.DUMMYFUNCTION("IMPORTRANGE(""https://docs.google.com/spreadsheets/d/1eHaY18a8A9IcSdp1K8H6x8fbOy06t2VsZHhMHf-1x7Y/edit?usp=sharing"",""แผน!F61"")"),0)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IFERROR(__xludf.DUMMYFUNCTION("IMPORTRANGE(""https://docs.google.com/spreadsheets/d/1eHaY18a8A9IcSdp1K8H6x8fbOy06t2VsZHhMHf-1x7Y/edit?usp=sharing"",""แผน!G61"")"),0)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IFERROR(__xludf.DUMMYFUNCTION("IMPORTRANGE(""https://docs.google.com/spreadsheets/d/1eHaY18a8A9IcSdp1K8H6x8fbOy06t2VsZHhMHf-1x7Y/edit?usp=sharing"",""แผน!D61"")"),0)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IFERROR(__xludf.DUMMYFUNCTION("IMPORTRANGE(""https://docs.google.com/spreadsheets/d/1eHaY18a8A9IcSdp1K8H6x8fbOy06t2VsZHhMHf-1x7Y/edit?usp=sharing"",""แผน!E61"")"),0)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IFERROR(__xludf.DUMMYFUNCTION("IMPORTRANGE(""https://docs.google.com/spreadsheets/d/1eHaY18a8A9IcSdp1K8H6x8fbOy06t2VsZHhMHf-1x7Y/edit?usp=sharing"",""แผน!J61"")"),0)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IFERROR(__xludf.DUMMYFUNCTION("IMPORTRANGE(""https://docs.google.com/spreadsheets/d/1-uDff_7J0KD5mKrp0Vvzr7lt3OU09vwQwhkpOPPYv2Y/edit?usp=sharing"",""งบพรบ!AW61"")"),0)</f>
        <v>0</v>
      </c>
      <c r="M99" s="427">
        <f ca="1">IFERROR(__xludf.DUMMYFUNCTION("IMPORTRANGE(""https://docs.google.com/spreadsheets/d/1-uDff_7J0KD5mKrp0Vvzr7lt3OU09vwQwhkpOPPYv2Y/edit?usp=sharing"",""งบพรบ!BB61"")"),0)</f>
        <v>0</v>
      </c>
      <c r="N99" s="427">
        <f ca="1">IFERROR(__xludf.DUMMYFUNCTION("IMPORTRANGE(""https://docs.google.com/spreadsheets/d/1-uDff_7J0KD5mKrp0Vvzr7lt3OU09vwQwhkpOPPYv2Y/edit?usp=sharing"",""งบพรบ!BD61"")"),0)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IFERROR(__xludf.DUMMYFUNCTION("IMPORTRANGE(""https://docs.google.com/spreadsheets/d/1-uDff_7J0KD5mKrp0Vvzr7lt3OU09vwQwhkpOPPYv2Y/edit?usp=sharing"",""งบพรบ!AZ61"")"),0)</f>
        <v>0</v>
      </c>
      <c r="M102" s="427">
        <f ca="1">IFERROR(__xludf.DUMMYFUNCTION("IMPORTRANGE(""https://docs.google.com/spreadsheets/d/1-uDff_7J0KD5mKrp0Vvzr7lt3OU09vwQwhkpOPPYv2Y/edit?usp=sharing"",""งบพรบ!BC61"")"),0)</f>
        <v>0</v>
      </c>
      <c r="N102" s="427">
        <f ca="1">IFERROR(__xludf.DUMMYFUNCTION("IMPORTRANGE(""https://docs.google.com/spreadsheets/d/1-uDff_7J0KD5mKrp0Vvzr7lt3OU09vwQwhkpOPPYv2Y/edit?usp=sharing"",""งบพรบ!BE61"")"),0)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IFERROR(__xludf.DUMMYFUNCTION("IMPORTRANGE(""https://docs.google.com/spreadsheets/d/1eHaY18a8A9IcSdp1K8H6x8fbOy06t2VsZHhMHf-1x7Y/edit?usp=sharing"",""แผน!N61"")"),0)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IFERROR(__xludf.DUMMYFUNCTION("IMPORTRANGE(""https://docs.google.com/spreadsheets/d/1eHaY18a8A9IcSdp1K8H6x8fbOy06t2VsZHhMHf-1x7Y/edit?usp=sharing"",""แผน!O61"")"),0)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IFERROR(__xludf.DUMMYFUNCTION("IMPORTRANGE(""https://docs.google.com/spreadsheets/d/1eHaY18a8A9IcSdp1K8H6x8fbOy06t2VsZHhMHf-1x7Y/edit?usp=sharing"",""แผน!R61"")"),0)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IFERROR(__xludf.DUMMYFUNCTION("IMPORTRANGE(""https://docs.google.com/spreadsheets/d/1-uDff_7J0KD5mKrp0Vvzr7lt3OU09vwQwhkpOPPYv2Y/edit?usp=sharing"",""งบพรบ!BG61"")"),0)</f>
        <v>0</v>
      </c>
      <c r="M130" s="864">
        <f ca="1">IFERROR(__xludf.DUMMYFUNCTION("IMPORTRANGE(""https://docs.google.com/spreadsheets/d/1-uDff_7J0KD5mKrp0Vvzr7lt3OU09vwQwhkpOPPYv2Y/edit?usp=sharing"",""งบพรบ!BL61"")"),0)</f>
        <v>0</v>
      </c>
      <c r="N130" s="864">
        <f ca="1">IFERROR(__xludf.DUMMYFUNCTION("IMPORTRANGE(""https://docs.google.com/spreadsheets/d/1-uDff_7J0KD5mKrp0Vvzr7lt3OU09vwQwhkpOPPYv2Y/edit?usp=sharing"",""งบพรบ!BN61"")"),0)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IFERROR(__xludf.DUMMYFUNCTION("IMPORTRANGE(""https://docs.google.com/spreadsheets/d/1-uDff_7J0KD5mKrp0Vvzr7lt3OU09vwQwhkpOPPYv2Y/edit?usp=sharing"",""งบพรบ!BJ61"")"),0)</f>
        <v>0</v>
      </c>
      <c r="M133" s="864">
        <f ca="1">IFERROR(__xludf.DUMMYFUNCTION("IMPORTRANGE(""https://docs.google.com/spreadsheets/d/1-uDff_7J0KD5mKrp0Vvzr7lt3OU09vwQwhkpOPPYv2Y/edit?usp=sharing"",""งบพรบ!BM61"")"),0)</f>
        <v>0</v>
      </c>
      <c r="N133" s="864">
        <f ca="1">IFERROR(__xludf.DUMMYFUNCTION("IMPORTRANGE(""https://docs.google.com/spreadsheets/d/1-uDff_7J0KD5mKrp0Vvzr7lt3OU09vwQwhkpOPPYv2Y/edit?usp=sharing"",""งบพรบ!BO61"")"),0)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IFERROR(__xludf.DUMMYFUNCTION("IMPORTRANGE(""https://docs.google.com/spreadsheets/d/1-uDff_7J0KD5mKrp0Vvzr7lt3OU09vwQwhkpOPPYv2Y/edit?usp=sharing"",""งบพรบ!BQ61"")"),0)</f>
        <v>0</v>
      </c>
      <c r="M144" s="427">
        <f ca="1">IFERROR(__xludf.DUMMYFUNCTION("IMPORTRANGE(""https://docs.google.com/spreadsheets/d/1-uDff_7J0KD5mKrp0Vvzr7lt3OU09vwQwhkpOPPYv2Y/edit?usp=sharing"",""งบพรบ!BV61"")"),0)</f>
        <v>0</v>
      </c>
      <c r="N144" s="427">
        <f ca="1">IFERROR(__xludf.DUMMYFUNCTION("IMPORTRANGE(""https://docs.google.com/spreadsheets/d/1-uDff_7J0KD5mKrp0Vvzr7lt3OU09vwQwhkpOPPYv2Y/edit?usp=sharing"",""งบพรบ!BX61"")"),0)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IFERROR(__xludf.DUMMYFUNCTION("IMPORTRANGE(""https://docs.google.com/spreadsheets/d/1-uDff_7J0KD5mKrp0Vvzr7lt3OU09vwQwhkpOPPYv2Y/edit?usp=sharing"",""งบพรบ!BT61"")"),0)</f>
        <v>0</v>
      </c>
      <c r="M147" s="427">
        <f ca="1">IFERROR(__xludf.DUMMYFUNCTION("IMPORTRANGE(""https://docs.google.com/spreadsheets/d/1-uDff_7J0KD5mKrp0Vvzr7lt3OU09vwQwhkpOPPYv2Y/edit?usp=sharing"",""งบพรบ!BW61"")"),0)</f>
        <v>0</v>
      </c>
      <c r="N147" s="427">
        <f ca="1">IFERROR(__xludf.DUMMYFUNCTION("IMPORTRANGE(""https://docs.google.com/spreadsheets/d/1-uDff_7J0KD5mKrp0Vvzr7lt3OU09vwQwhkpOPPYv2Y/edit?usp=sharing"",""งบพรบ!BY61"")"),0)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IFERROR(__xludf.DUMMYFUNCTION("IMPORTRANGE(""https://docs.google.com/spreadsheets/d/1eHaY18a8A9IcSdp1K8H6x8fbOy06t2VsZHhMHf-1x7Y/edit?usp=sharing"",""แผน!U61"")"),0)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IFERROR(__xludf.DUMMYFUNCTION("IMPORTRANGE(""https://docs.google.com/spreadsheets/d/1eHaY18a8A9IcSdp1K8H6x8fbOy06t2VsZHhMHf-1x7Y/edit?usp=sharing"",""แผน!V61"")"),0)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IFERROR(__xludf.DUMMYFUNCTION("IMPORTRANGE(""https://docs.google.com/spreadsheets/d/1eHaY18a8A9IcSdp1K8H6x8fbOy06t2VsZHhMHf-1x7Y/edit?usp=sharing"",""แผน!W61"")"),0)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IFERROR(__xludf.DUMMYFUNCTION("IMPORTRANGE(""https://docs.google.com/spreadsheets/d/1eHaY18a8A9IcSdp1K8H6x8fbOy06t2VsZHhMHf-1x7Y/edit?usp=sharing"",""แผน!X61"")"),0)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IFERROR(__xludf.DUMMYFUNCTION("IMPORTRANGE(""https://docs.google.com/spreadsheets/d/1eHaY18a8A9IcSdp1K8H6x8fbOy06t2VsZHhMHf-1x7Y/edit?usp=sharing"",""แผน!Y61"")"),0)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IFERROR(__xludf.DUMMYFUNCTION("IMPORTRANGE(""https://docs.google.com/spreadsheets/d/1-uDff_7J0KD5mKrp0Vvzr7lt3OU09vwQwhkpOPPYv2Y/edit?usp=sharing"",""งบพรบ!CA61"")"),0)</f>
        <v>0</v>
      </c>
      <c r="M162" s="427">
        <f ca="1">IFERROR(__xludf.DUMMYFUNCTION("IMPORTRANGE(""https://docs.google.com/spreadsheets/d/1-uDff_7J0KD5mKrp0Vvzr7lt3OU09vwQwhkpOPPYv2Y/edit?usp=sharing"",""งบพรบ!CF61"")"),0)</f>
        <v>0</v>
      </c>
      <c r="N162" s="427">
        <f ca="1">IFERROR(__xludf.DUMMYFUNCTION("IMPORTRANGE(""https://docs.google.com/spreadsheets/d/1-uDff_7J0KD5mKrp0Vvzr7lt3OU09vwQwhkpOPPYv2Y/edit?usp=sharing"",""งบพรบ!CH61"")"),0)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IFERROR(__xludf.DUMMYFUNCTION("IMPORTRANGE(""https://docs.google.com/spreadsheets/d/1-uDff_7J0KD5mKrp0Vvzr7lt3OU09vwQwhkpOPPYv2Y/edit?usp=sharing"",""งบพรบ!CD61"")"),0)</f>
        <v>0</v>
      </c>
      <c r="M165" s="427">
        <f ca="1">IFERROR(__xludf.DUMMYFUNCTION("IMPORTRANGE(""https://docs.google.com/spreadsheets/d/1-uDff_7J0KD5mKrp0Vvzr7lt3OU09vwQwhkpOPPYv2Y/edit?usp=sharing"",""งบพรบ!CG61"")"),0)</f>
        <v>0</v>
      </c>
      <c r="N165" s="427">
        <f ca="1">IFERROR(__xludf.DUMMYFUNCTION("IMPORTRANGE(""https://docs.google.com/spreadsheets/d/1-uDff_7J0KD5mKrp0Vvzr7lt3OU09vwQwhkpOPPYv2Y/edit?usp=sharing"",""งบพรบ!CI61"")"),0)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IFERROR(__xludf.DUMMYFUNCTION("IMPORTRANGE(""https://docs.google.com/spreadsheets/d/1eHaY18a8A9IcSdp1K8H6x8fbOy06t2VsZHhMHf-1x7Y/edit?usp=sharing"",""แผน!Z61"")"),0)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IFERROR(__xludf.DUMMYFUNCTION("IMPORTRANGE(""https://docs.google.com/spreadsheets/d/1eHaY18a8A9IcSdp1K8H6x8fbOy06t2VsZHhMHf-1x7Y/edit?usp=sharing"",""แผน!Z61"")"),0)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IFERROR(__xludf.DUMMYFUNCTION("IMPORTRANGE(""https://docs.google.com/spreadsheets/d/1eHaY18a8A9IcSdp1K8H6x8fbOy06t2VsZHhMHf-1x7Y/edit?usp=sharing"",""แผน!Z61"")"),0)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19590</v>
      </c>
      <c r="O173" s="715">
        <f t="shared" ref="O173:O181" ca="1" si="27">IF(L173&gt;0,N173*100/L173,0)</f>
        <v>100</v>
      </c>
      <c r="P173" s="715">
        <f t="shared" ref="P173:P181" ca="1" si="28">IF(M173&gt;0,N173*100/M173,0)</f>
        <v>100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19590</v>
      </c>
      <c r="O175" s="427">
        <f t="shared" ca="1" si="27"/>
        <v>100</v>
      </c>
      <c r="P175" s="427">
        <f t="shared" ca="1" si="28"/>
        <v>100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t="shared" ca="1" si="27"/>
        <v>100</v>
      </c>
      <c r="P176" s="427">
        <f t="shared" ca="1" si="28"/>
        <v>100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IFERROR(__xludf.DUMMYFUNCTION("IMPORTRANGE(""https://docs.google.com/spreadsheets/d/1-uDff_7J0KD5mKrp0Vvzr7lt3OU09vwQwhkpOPPYv2Y/edit?usp=sharing"",""งบพรบ!CK61"")"),19590)</f>
        <v>19590</v>
      </c>
      <c r="M178" s="427">
        <f ca="1">IFERROR(__xludf.DUMMYFUNCTION("IMPORTRANGE(""https://docs.google.com/spreadsheets/d/1-uDff_7J0KD5mKrp0Vvzr7lt3OU09vwQwhkpOPPYv2Y/edit?usp=sharing"",""งบพรบ!CP61"")"),19590)</f>
        <v>19590</v>
      </c>
      <c r="N178" s="427">
        <f ca="1">IFERROR(__xludf.DUMMYFUNCTION("IMPORTRANGE(""https://docs.google.com/spreadsheets/d/1-uDff_7J0KD5mKrp0Vvzr7lt3OU09vwQwhkpOPPYv2Y/edit?usp=sharing"",""งบพรบ!CR61"")"),19590)</f>
        <v>19590</v>
      </c>
      <c r="O178" s="427">
        <f t="shared" ca="1" si="27"/>
        <v>100</v>
      </c>
      <c r="P178" s="427">
        <f t="shared" ca="1" si="28"/>
        <v>100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IFERROR(__xludf.DUMMYFUNCTION("IMPORTRANGE(""https://docs.google.com/spreadsheets/d/1-uDff_7J0KD5mKrp0Vvzr7lt3OU09vwQwhkpOPPYv2Y/edit?usp=sharing"",""งบพรบ!CN61"")"),0)</f>
        <v>0</v>
      </c>
      <c r="M181" s="427">
        <f ca="1">IFERROR(__xludf.DUMMYFUNCTION("IMPORTRANGE(""https://docs.google.com/spreadsheets/d/1-uDff_7J0KD5mKrp0Vvzr7lt3OU09vwQwhkpOPPYv2Y/edit?usp=sharing"",""งบพรบ!CQ61"")"),0)</f>
        <v>0</v>
      </c>
      <c r="N181" s="427">
        <f ca="1">IFERROR(__xludf.DUMMYFUNCTION("IMPORTRANGE(""https://docs.google.com/spreadsheets/d/1-uDff_7J0KD5mKrp0Vvzr7lt3OU09vwQwhkpOPPYv2Y/edit?usp=sharing"",""งบพรบ!CS61"")"),0)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IFERROR(__xludf.DUMMYFUNCTION("IMPORTRANGE(""https://docs.google.com/spreadsheets/d/1eHaY18a8A9IcSdp1K8H6x8fbOy06t2VsZHhMHf-1x7Y/edit?usp=sharing"",""แผน!AA61"")"),7)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60</v>
      </c>
      <c r="J185" s="829">
        <f>J230+J231</f>
        <v>30</v>
      </c>
      <c r="K185" s="828">
        <f ca="1">IF(I185&gt;0,J185*100/I185,0)</f>
        <v>50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391600</v>
      </c>
      <c r="M186" s="715">
        <f ca="1">M187+M188</f>
        <v>306400</v>
      </c>
      <c r="N186" s="715">
        <f ca="1">N187+N188</f>
        <v>116170.76</v>
      </c>
      <c r="O186" s="715">
        <f t="shared" ref="O186:O194" ca="1" si="30">IF(L186&gt;0,N186*100/L186,0)</f>
        <v>29.665669050051072</v>
      </c>
      <c r="P186" s="715">
        <f t="shared" ref="P186:P194" ca="1" si="31">IF(M186&gt;0,N186*100/M186,0)</f>
        <v>37.914738903394259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391600</v>
      </c>
      <c r="M188" s="427">
        <f t="shared" ca="1" si="32"/>
        <v>306400</v>
      </c>
      <c r="N188" s="427">
        <f t="shared" ca="1" si="32"/>
        <v>116170.76</v>
      </c>
      <c r="O188" s="427">
        <f t="shared" ca="1" si="30"/>
        <v>29.665669050051072</v>
      </c>
      <c r="P188" s="427">
        <f t="shared" ca="1" si="31"/>
        <v>37.914738903394259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391600</v>
      </c>
      <c r="M189" s="427">
        <f ca="1">M190+M191</f>
        <v>306400</v>
      </c>
      <c r="N189" s="427">
        <f ca="1">N190+N191</f>
        <v>116170.76</v>
      </c>
      <c r="O189" s="427">
        <f t="shared" ca="1" si="30"/>
        <v>29.665669050051072</v>
      </c>
      <c r="P189" s="427">
        <f t="shared" ca="1" si="31"/>
        <v>37.914738903394259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IFERROR(__xludf.DUMMYFUNCTION("IMPORTRANGE(""https://docs.google.com/spreadsheets/d/1-uDff_7J0KD5mKrp0Vvzr7lt3OU09vwQwhkpOPPYv2Y/edit?usp=sharing"",""งบพรบ!CU61"")"),391600)</f>
        <v>391600</v>
      </c>
      <c r="M191" s="427">
        <f ca="1">IFERROR(__xludf.DUMMYFUNCTION("IMPORTRANGE(""https://docs.google.com/spreadsheets/d/1-uDff_7J0KD5mKrp0Vvzr7lt3OU09vwQwhkpOPPYv2Y/edit?usp=sharing"",""งบพรบ!CZ61"")"),306400)</f>
        <v>306400</v>
      </c>
      <c r="N191" s="427">
        <f ca="1">IFERROR(__xludf.DUMMYFUNCTION("IMPORTRANGE(""https://docs.google.com/spreadsheets/d/1-uDff_7J0KD5mKrp0Vvzr7lt3OU09vwQwhkpOPPYv2Y/edit?usp=sharing"",""งบพรบ!DB61"")"),116170.76)</f>
        <v>116170.76</v>
      </c>
      <c r="O191" s="427">
        <f t="shared" ca="1" si="30"/>
        <v>29.665669050051072</v>
      </c>
      <c r="P191" s="427">
        <f t="shared" ca="1" si="31"/>
        <v>37.914738903394259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IFERROR(__xludf.DUMMYFUNCTION("IMPORTRANGE(""https://docs.google.com/spreadsheets/d/1-uDff_7J0KD5mKrp0Vvzr7lt3OU09vwQwhkpOPPYv2Y/edit?usp=sharing"",""งบพรบ!CX61"")"),0)</f>
        <v>0</v>
      </c>
      <c r="M194" s="427">
        <f ca="1">IFERROR(__xludf.DUMMYFUNCTION("IMPORTRANGE(""https://docs.google.com/spreadsheets/d/1-uDff_7J0KD5mKrp0Vvzr7lt3OU09vwQwhkpOPPYv2Y/edit?usp=sharing"",""งบพรบ!DA61"")"),0)</f>
        <v>0</v>
      </c>
      <c r="N194" s="427">
        <f ca="1">IFERROR(__xludf.DUMMYFUNCTION("IMPORTRANGE(""https://docs.google.com/spreadsheets/d/1-uDff_7J0KD5mKrp0Vvzr7lt3OU09vwQwhkpOPPYv2Y/edit?usp=sharing"",""งบพรบ!DC61"")"),0)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IFERROR(__xludf.DUMMYFUNCTION("IMPORTRANGE(""https://docs.google.com/spreadsheets/d/1eHaY18a8A9IcSdp1K8H6x8fbOy06t2VsZHhMHf-1x7Y/edit?usp=sharing"",""แผน!AB61"")"),6000)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IFERROR(__xludf.DUMMYFUNCTION("IMPORTRANGE(""https://docs.google.com/spreadsheets/d/1eHaY18a8A9IcSdp1K8H6x8fbOy06t2VsZHhMHf-1x7Y/edit?usp=sharing"",""แผน!AE61"")"),4)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8585</v>
      </c>
      <c r="O203" s="715">
        <f ca="1">IF(L203&gt;0,N203*100/L203,0)</f>
        <v>66.038461538461533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IFERROR(__xludf.DUMMYFUNCTION("IMPORTRANGE(""https://docs.google.com/spreadsheets/d/1eHaY18a8A9IcSdp1K8H6x8fbOy06t2VsZHhMHf-1x7Y/edit?usp=sharing"",""แผน!AG61"")"),1000)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IFERROR(__xludf.DUMMYFUNCTION("IMPORTRANGE(""https://docs.google.com/spreadsheets/d/1eHaY18a8A9IcSdp1K8H6x8fbOy06t2VsZHhMHf-1x7Y/edit?usp=sharing"",""แผน!AH61"")"),0)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IFERROR(__xludf.DUMMYFUNCTION("IMPORTRANGE(""https://docs.google.com/spreadsheets/d/1eHaY18a8A9IcSdp1K8H6x8fbOy06t2VsZHhMHf-1x7Y/edit?usp=sharing"",""แผน!AI61"")"),8000)</f>
        <v>8000</v>
      </c>
      <c r="M206" s="430"/>
      <c r="N206" s="818">
        <v>8585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IFERROR(__xludf.DUMMYFUNCTION("IMPORTRANGE(""https://docs.google.com/spreadsheets/d/1eHaY18a8A9IcSdp1K8H6x8fbOy06t2VsZHhMHf-1x7Y/edit?usp=sharing"",""แผน!AJ61"")"),4000)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IFERROR(__xludf.DUMMYFUNCTION("IMPORTRANGE(""https://docs.google.com/spreadsheets/d/1eHaY18a8A9IcSdp1K8H6x8fbOy06t2VsZHhMHf-1x7Y/edit?usp=sharing"",""แผน!AK61"")"),1)</f>
        <v>1</v>
      </c>
      <c r="J209" s="736">
        <v>1</v>
      </c>
      <c r="K209" s="767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IFERROR(__xludf.DUMMYFUNCTION("IMPORTRANGE(""https://docs.google.com/spreadsheets/d/1eHaY18a8A9IcSdp1K8H6x8fbOy06t2VsZHhMHf-1x7Y/edit?usp=sharing"",""แผน!JX61"")"),1)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IFERROR(__xludf.DUMMYFUNCTION("IMPORTRANGE(""https://docs.google.com/spreadsheets/d/1eHaY18a8A9IcSdp1K8H6x8fbOy06t2VsZHhMHf-1x7Y/edit?usp=sharing"",""แผน!JY61"")"),0)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IFERROR(__xludf.DUMMYFUNCTION("IMPORTRANGE(""https://docs.google.com/spreadsheets/d/1eHaY18a8A9IcSdp1K8H6x8fbOy06t2VsZHhMHf-1x7Y/edit?usp=sharing"",""แผน!AM61"")"),0)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IFERROR(__xludf.DUMMYFUNCTION("IMPORTRANGE(""https://docs.google.com/spreadsheets/d/1eHaY18a8A9IcSdp1K8H6x8fbOy06t2VsZHhMHf-1x7Y/edit?usp=sharing"",""แผน!AN61"")"),0)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IFERROR(__xludf.DUMMYFUNCTION("IMPORTRANGE(""https://docs.google.com/spreadsheets/d/1eHaY18a8A9IcSdp1K8H6x8fbOy06t2VsZHhMHf-1x7Y/edit?usp=sharing"",""แผน!AO61"")"),0)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IFERROR(__xludf.DUMMYFUNCTION("IMPORTRANGE(""https://docs.google.com/spreadsheets/d/1eHaY18a8A9IcSdp1K8H6x8fbOy06t2VsZHhMHf-1x7Y/edit?usp=sharing"",""แผน!AP61"")"),0)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IFERROR(__xludf.DUMMYFUNCTION("IMPORTRANGE(""https://docs.google.com/spreadsheets/d/1eHaY18a8A9IcSdp1K8H6x8fbOy06t2VsZHhMHf-1x7Y/edit?usp=sharing"",""แผน!AP61"")"),0)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IFERROR(__xludf.DUMMYFUNCTION("IMPORTRANGE(""https://docs.google.com/spreadsheets/d/1eHaY18a8A9IcSdp1K8H6x8fbOy06t2VsZHhMHf-1x7Y/edit?usp=sharing"",""แผน!AR61"")"),3000)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IFERROR(__xludf.DUMMYFUNCTION("IMPORTRANGE(""https://docs.google.com/spreadsheets/d/1eHaY18a8A9IcSdp1K8H6x8fbOy06t2VsZHhMHf-1x7Y/edit?usp=sharing"",""แผน!AS61"")"),1500)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IFERROR(__xludf.DUMMYFUNCTION("IMPORTRANGE(""https://docs.google.com/spreadsheets/d/1eHaY18a8A9IcSdp1K8H6x8fbOy06t2VsZHhMHf-1x7Y/edit?usp=sharing"",""แผน!AT61"")"),0)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IFERROR(__xludf.DUMMYFUNCTION("IMPORTRANGE(""https://docs.google.com/spreadsheets/d/1eHaY18a8A9IcSdp1K8H6x8fbOy06t2VsZHhMHf-1x7Y/edit?usp=sharing"",""แผน!AV61"")"),20000)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IFERROR(__xludf.DUMMYFUNCTION("IMPORTRANGE(""https://docs.google.com/spreadsheets/d/1eHaY18a8A9IcSdp1K8H6x8fbOy06t2VsZHhMHf-1x7Y/edit?usp=sharing"",""แผน!AV61"")"),20000)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IFERROR(__xludf.DUMMYFUNCTION("IMPORTRANGE(""https://docs.google.com/spreadsheets/d/1eHaY18a8A9IcSdp1K8H6x8fbOy06t2VsZHhMHf-1x7Y/edit?usp=sharing"",""แผน!AU61"")"),0)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60</v>
      </c>
      <c r="J231" s="593">
        <f>J242+J253</f>
        <v>30</v>
      </c>
      <c r="K231" s="592">
        <f ca="1">IF(I231&gt;0,J231*100/I231,0)</f>
        <v>50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104900</v>
      </c>
      <c r="M232" s="501"/>
      <c r="N232" s="525">
        <f>N243+N254</f>
        <v>20800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3000</v>
      </c>
      <c r="M234" s="501"/>
      <c r="N234" s="502">
        <f>N245+N256</f>
        <v>20800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46900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47000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60</v>
      </c>
      <c r="J238" s="201">
        <f>J249+J260</f>
        <v>30</v>
      </c>
      <c r="K238" s="502">
        <f ca="1">IF(I238&gt;0,J238*100/I238,0)</f>
        <v>50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60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253</v>
      </c>
      <c r="D242" s="284"/>
      <c r="E242" s="284"/>
      <c r="F242" s="284"/>
      <c r="G242" s="285"/>
      <c r="H242" s="286" t="s">
        <v>33</v>
      </c>
      <c r="I242" s="287">
        <f ca="1">I249</f>
        <v>60</v>
      </c>
      <c r="J242" s="287">
        <f>J249</f>
        <v>30</v>
      </c>
      <c r="K242" s="288">
        <f ca="1">IF(I242&gt;0,J242*100/I242,0)</f>
        <v>50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104900</v>
      </c>
      <c r="M243" s="58"/>
      <c r="N243" s="161">
        <f>N244+N245+N246+N247</f>
        <v>20800</v>
      </c>
      <c r="O243" s="161">
        <f ca="1">IF(L243&gt;0,N243*100/L243,0)</f>
        <v>19.828408007626312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IFERROR(__xludf.DUMMYFUNCTION("IMPORTRANGE(""https://docs.google.com/spreadsheets/d/1eHaY18a8A9IcSdp1K8H6x8fbOy06t2VsZHhMHf-1x7Y/edit?usp=sharing"",""แผน!AX61"")"),8000)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IFERROR(__xludf.DUMMYFUNCTION("IMPORTRANGE(""https://docs.google.com/spreadsheets/d/1eHaY18a8A9IcSdp1K8H6x8fbOy06t2VsZHhMHf-1x7Y/edit?usp=sharing"",""แผน!AY61"")"),3000)</f>
        <v>3000</v>
      </c>
      <c r="M245" s="58"/>
      <c r="N245" s="600">
        <v>20800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IFERROR(__xludf.DUMMYFUNCTION("IMPORTRANGE(""https://docs.google.com/spreadsheets/d/1eHaY18a8A9IcSdp1K8H6x8fbOy06t2VsZHhMHf-1x7Y/edit?usp=sharing"",""แผน!AZ61"")"),46900)</f>
        <v>46900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IFERROR(__xludf.DUMMYFUNCTION("IMPORTRANGE(""https://docs.google.com/spreadsheets/d/1eHaY18a8A9IcSdp1K8H6x8fbOy06t2VsZHhMHf-1x7Y/edit?usp=sharing"",""แผน!BA61"")"),47000)</f>
        <v>47000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IFERROR(__xludf.DUMMYFUNCTION("IMPORTRANGE(""https://docs.google.com/spreadsheets/d/1eHaY18a8A9IcSdp1K8H6x8fbOy06t2VsZHhMHf-1x7Y/edit?usp=sharing"",""แผน!BG61"")"),60)</f>
        <v>60</v>
      </c>
      <c r="J249" s="558">
        <v>30</v>
      </c>
      <c r="K249" s="61">
        <f ca="1">IF(I249&gt;0,J249*100/I249,0)</f>
        <v>50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1077" t="s">
        <v>252</v>
      </c>
      <c r="F251" s="1076"/>
      <c r="G251" s="1075"/>
      <c r="H251" s="1074" t="s">
        <v>33</v>
      </c>
      <c r="I251" s="196">
        <f ca="1">IFERROR(__xludf.DUMMYFUNCTION("IMPORTRANGE(""https://docs.google.com/spreadsheets/d/1eHaY18a8A9IcSdp1K8H6x8fbOy06t2VsZHhMHf-1x7Y/edit?usp=sharing"",""แผน!KB61"")"),60)</f>
        <v>60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706" t="s">
        <v>251</v>
      </c>
      <c r="F252" s="422"/>
      <c r="G252" s="680"/>
      <c r="H252" s="705" t="s">
        <v>33</v>
      </c>
      <c r="I252" s="196">
        <f ca="1">IFERROR(__xludf.DUMMYFUNCTION("IMPORTRANGE(""https://docs.google.com/spreadsheets/d/1eHaY18a8A9IcSdp1K8H6x8fbOy06t2VsZHhMHf-1x7Y/edit?usp=sharing"",""แผน!KC61"")"),1)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IFERROR(__xludf.DUMMYFUNCTION("IMPORTRANGE(""https://docs.google.com/spreadsheets/d/1eHaY18a8A9IcSdp1K8H6x8fbOy06t2VsZHhMHf-1x7Y/edit?usp=sharing"",""แผน!BB61"")"),0)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IFERROR(__xludf.DUMMYFUNCTION("IMPORTRANGE(""https://docs.google.com/spreadsheets/d/1eHaY18a8A9IcSdp1K8H6x8fbOy06t2VsZHhMHf-1x7Y/edit?usp=sharing"",""แผน!BC61"")"),0)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IFERROR(__xludf.DUMMYFUNCTION("IMPORTRANGE(""https://docs.google.com/spreadsheets/d/1eHaY18a8A9IcSdp1K8H6x8fbOy06t2VsZHhMHf-1x7Y/edit?usp=sharing"",""แผน!BD61"")"),0)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IFERROR(__xludf.DUMMYFUNCTION("IMPORTRANGE(""https://docs.google.com/spreadsheets/d/1eHaY18a8A9IcSdp1K8H6x8fbOy06t2VsZHhMHf-1x7Y/edit?usp=sharing"",""แผน!BE61"")"),0)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IFERROR(__xludf.DUMMYFUNCTION("IMPORTRANGE(""https://docs.google.com/spreadsheets/d/1eHaY18a8A9IcSdp1K8H6x8fbOy06t2VsZHhMHf-1x7Y/edit?usp=sharing"",""แผน!BH61"")"),0)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IFERROR(__xludf.DUMMYFUNCTION("IMPORTRANGE(""https://docs.google.com/spreadsheets/d/1-uDff_7J0KD5mKrp0Vvzr7lt3OU09vwQwhkpOPPYv2Y/edit?usp=sharing"",""งบพรบ!DE61"")"),0)</f>
        <v>0</v>
      </c>
      <c r="M271" s="502">
        <f ca="1">IFERROR(__xludf.DUMMYFUNCTION("IMPORTRANGE(""https://docs.google.com/spreadsheets/d/1-uDff_7J0KD5mKrp0Vvzr7lt3OU09vwQwhkpOPPYv2Y/edit?usp=sharing"",""งบพรบ!DJ61"")"),0)</f>
        <v>0</v>
      </c>
      <c r="N271" s="502">
        <f ca="1">IFERROR(__xludf.DUMMYFUNCTION("IMPORTRANGE(""https://docs.google.com/spreadsheets/d/1-uDff_7J0KD5mKrp0Vvzr7lt3OU09vwQwhkpOPPYv2Y/edit?usp=sharing"",""งบพรบ!DL61"")"),0)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IFERROR(__xludf.DUMMYFUNCTION("IMPORTRANGE(""https://docs.google.com/spreadsheets/d/1-uDff_7J0KD5mKrp0Vvzr7lt3OU09vwQwhkpOPPYv2Y/edit?usp=sharing"",""งบพรบ!DH61"")"),0)</f>
        <v>0</v>
      </c>
      <c r="M274" s="502">
        <f ca="1">IFERROR(__xludf.DUMMYFUNCTION("IMPORTRANGE(""https://docs.google.com/spreadsheets/d/1-uDff_7J0KD5mKrp0Vvzr7lt3OU09vwQwhkpOPPYv2Y/edit?usp=sharing"",""งบพรบ!DK61"")"),0)</f>
        <v>0</v>
      </c>
      <c r="N274" s="502">
        <f ca="1">IFERROR(__xludf.DUMMYFUNCTION("IMPORTRANGE(""https://docs.google.com/spreadsheets/d/1-uDff_7J0KD5mKrp0Vvzr7lt3OU09vwQwhkpOPPYv2Y/edit?usp=sharing"",""งบพรบ!DM61"")"),0)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IFERROR(__xludf.DUMMYFUNCTION("IMPORTRANGE(""https://docs.google.com/spreadsheets/d/1-uDff_7J0KD5mKrp0Vvzr7lt3OU09vwQwhkpOPPYv2Y/edit?usp=sharing"",""งบพรบ!DO61"")"),0)</f>
        <v>0</v>
      </c>
      <c r="M287" s="427">
        <f ca="1">IFERROR(__xludf.DUMMYFUNCTION("IMPORTRANGE(""https://docs.google.com/spreadsheets/d/1-uDff_7J0KD5mKrp0Vvzr7lt3OU09vwQwhkpOPPYv2Y/edit?usp=sharing"",""งบพรบ!DT61"")"),0)</f>
        <v>0</v>
      </c>
      <c r="N287" s="427">
        <f ca="1">IFERROR(__xludf.DUMMYFUNCTION("IMPORTRANGE(""https://docs.google.com/spreadsheets/d/1-uDff_7J0KD5mKrp0Vvzr7lt3OU09vwQwhkpOPPYv2Y/edit?usp=sharing"",""งบพรบ!DV61"")"),0)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IFERROR(__xludf.DUMMYFUNCTION("IMPORTRANGE(""https://docs.google.com/spreadsheets/d/1-uDff_7J0KD5mKrp0Vvzr7lt3OU09vwQwhkpOPPYv2Y/edit?usp=sharing"",""งบพรบ!DR61"")"),0)</f>
        <v>0</v>
      </c>
      <c r="M290" s="427">
        <f ca="1">IFERROR(__xludf.DUMMYFUNCTION("IMPORTRANGE(""https://docs.google.com/spreadsheets/d/1-uDff_7J0KD5mKrp0Vvzr7lt3OU09vwQwhkpOPPYv2Y/edit?usp=sharing"",""งบพรบ!DU61"")"),0)</f>
        <v>0</v>
      </c>
      <c r="N290" s="427">
        <f ca="1">IFERROR(__xludf.DUMMYFUNCTION("IMPORTRANGE(""https://docs.google.com/spreadsheets/d/1-uDff_7J0KD5mKrp0Vvzr7lt3OU09vwQwhkpOPPYv2Y/edit?usp=sharing"",""งบพรบ!DW61"")"),0)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IFERROR(__xludf.DUMMYFUNCTION("IMPORTRANGE(""https://docs.google.com/spreadsheets/d/1eHaY18a8A9IcSdp1K8H6x8fbOy06t2VsZHhMHf-1x7Y/edit?usp=sharing"",""แผน!EE61"")"),0)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IFERROR(__xludf.DUMMYFUNCTION("IMPORTRANGE(""https://docs.google.com/spreadsheets/d/1eHaY18a8A9IcSdp1K8H6x8fbOy06t2VsZHhMHf-1x7Y/edit?usp=sharing"",""แผน!ED61"")"),0)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IFERROR(__xludf.DUMMYFUNCTION("IMPORTRANGE(""https://docs.google.com/spreadsheets/d/1eHaY18a8A9IcSdp1K8H6x8fbOy06t2VsZHhMHf-1x7Y/edit?usp=sharing"",""แผน!ED61"")"),0)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IFERROR(__xludf.DUMMYFUNCTION("IMPORTRANGE(""https://docs.google.com/spreadsheets/d/1eHaY18a8A9IcSdp1K8H6x8fbOy06t2VsZHhMHf-1x7Y/edit?usp=sharing"",""แผน!ED61"")"),0)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IFERROR(__xludf.DUMMYFUNCTION("IMPORTRANGE(""https://docs.google.com/spreadsheets/d/1-uDff_7J0KD5mKrp0Vvzr7lt3OU09vwQwhkpOPPYv2Y/edit?usp=sharing"",""งบพรบ!DY61"")"),0)</f>
        <v>0</v>
      </c>
      <c r="M308" s="427">
        <f ca="1">IFERROR(__xludf.DUMMYFUNCTION("IMPORTRANGE(""https://docs.google.com/spreadsheets/d/1-uDff_7J0KD5mKrp0Vvzr7lt3OU09vwQwhkpOPPYv2Y/edit?usp=sharing"",""งบพรบ!ED61"")"),0)</f>
        <v>0</v>
      </c>
      <c r="N308" s="427">
        <f ca="1">IFERROR(__xludf.DUMMYFUNCTION("IMPORTRANGE(""https://docs.google.com/spreadsheets/d/1-uDff_7J0KD5mKrp0Vvzr7lt3OU09vwQwhkpOPPYv2Y/edit?usp=sharing"",""งบพรบ!EF61"")"),0)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IFERROR(__xludf.DUMMYFUNCTION("IMPORTRANGE(""https://docs.google.com/spreadsheets/d/1-uDff_7J0KD5mKrp0Vvzr7lt3OU09vwQwhkpOPPYv2Y/edit?usp=sharing"",""งบพรบ!EB61"")"),0)</f>
        <v>0</v>
      </c>
      <c r="M311" s="427">
        <f ca="1">IFERROR(__xludf.DUMMYFUNCTION("IMPORTRANGE(""https://docs.google.com/spreadsheets/d/1-uDff_7J0KD5mKrp0Vvzr7lt3OU09vwQwhkpOPPYv2Y/edit?usp=sharing"",""งบพรบ!EE61"")"),0)</f>
        <v>0</v>
      </c>
      <c r="N311" s="427">
        <f ca="1">IFERROR(__xludf.DUMMYFUNCTION("IMPORTRANGE(""https://docs.google.com/spreadsheets/d/1-uDff_7J0KD5mKrp0Vvzr7lt3OU09vwQwhkpOPPYv2Y/edit?usp=sharing"",""งบพรบ!EG61"")"),0)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IFERROR(__xludf.DUMMYFUNCTION("IMPORTRANGE(""https://docs.google.com/spreadsheets/d/1eHaY18a8A9IcSdp1K8H6x8fbOy06t2VsZHhMHf-1x7Y/edit?usp=sharing"",""แผน!EF61"")"),0)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IFERROR(__xludf.DUMMYFUNCTION("IMPORTRANGE(""https://docs.google.com/spreadsheets/d/1eHaY18a8A9IcSdp1K8H6x8fbOy06t2VsZHhMHf-1x7Y/edit?usp=sharing"",""แผน!EG61"")"),0)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IFERROR(__xludf.DUMMYFUNCTION("IMPORTRANGE(""https://docs.google.com/spreadsheets/d/1eHaY18a8A9IcSdp1K8H6x8fbOy06t2VsZHhMHf-1x7Y/edit?usp=sharing"",""แผน!EH61"")"),0)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IFERROR(__xludf.DUMMYFUNCTION("IMPORTRANGE(""https://docs.google.com/spreadsheets/d/1eHaY18a8A9IcSdp1K8H6x8fbOy06t2VsZHhMHf-1x7Y/edit?usp=sharing"",""แผน!EI61"")"),0)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IFERROR(__xludf.DUMMYFUNCTION("IMPORTRANGE(""https://docs.google.com/spreadsheets/d/1-uDff_7J0KD5mKrp0Vvzr7lt3OU09vwQwhkpOPPYv2Y/edit?usp=sharing"",""งบพรบ!EI61"")"),0)</f>
        <v>0</v>
      </c>
      <c r="M325" s="427">
        <f ca="1">IFERROR(__xludf.DUMMYFUNCTION("IMPORTRANGE(""https://docs.google.com/spreadsheets/d/1-uDff_7J0KD5mKrp0Vvzr7lt3OU09vwQwhkpOPPYv2Y/edit?usp=sharing"",""งบพรบ!EN61"")"),0)</f>
        <v>0</v>
      </c>
      <c r="N325" s="427">
        <f ca="1">IFERROR(__xludf.DUMMYFUNCTION("IMPORTRANGE(""https://docs.google.com/spreadsheets/d/1-uDff_7J0KD5mKrp0Vvzr7lt3OU09vwQwhkpOPPYv2Y/edit?usp=sharing"",""งบพรบ!EP61"")"),0)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IFERROR(__xludf.DUMMYFUNCTION("IMPORTRANGE(""https://docs.google.com/spreadsheets/d/1-uDff_7J0KD5mKrp0Vvzr7lt3OU09vwQwhkpOPPYv2Y/edit?usp=sharing"",""งบพรบ!EL61"")"),0)</f>
        <v>0</v>
      </c>
      <c r="M328" s="427">
        <f ca="1">IFERROR(__xludf.DUMMYFUNCTION("IMPORTRANGE(""https://docs.google.com/spreadsheets/d/1-uDff_7J0KD5mKrp0Vvzr7lt3OU09vwQwhkpOPPYv2Y/edit?usp=sharing"",""งบพรบ!EO61"")"),0)</f>
        <v>0</v>
      </c>
      <c r="N328" s="427">
        <f ca="1">IFERROR(__xludf.DUMMYFUNCTION("IMPORTRANGE(""https://docs.google.com/spreadsheets/d/1-uDff_7J0KD5mKrp0Vvzr7lt3OU09vwQwhkpOPPYv2Y/edit?usp=sharing"",""งบพรบ!EQ61"")"),0)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IFERROR(__xludf.DUMMYFUNCTION("IMPORTRANGE(""https://docs.google.com/spreadsheets/d/1eHaY18a8A9IcSdp1K8H6x8fbOy06t2VsZHhMHf-1x7Y/edit?usp=sharing"",""แผน!EJ61"")"),0)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940</v>
      </c>
      <c r="J332" s="404">
        <f ca="1">J344+J347+J348+J349+J353</f>
        <v>144</v>
      </c>
      <c r="K332" s="405">
        <f ca="1">IF(I332&gt;0,J332*100/I332,0)</f>
        <v>15.319148936170214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337200</v>
      </c>
      <c r="M333" s="715">
        <f ca="1">M334+M335</f>
        <v>244750</v>
      </c>
      <c r="N333" s="715">
        <f ca="1">N334+N335</f>
        <v>97283.3</v>
      </c>
      <c r="O333" s="715">
        <f t="shared" ref="O333:O341" ca="1" si="45">IF(L333&gt;0,N333*100/L333,0)</f>
        <v>28.85032621589561</v>
      </c>
      <c r="P333" s="715">
        <f t="shared" ref="P333:P341" ca="1" si="46">IF(M333&gt;0,N333*100/M333,0)</f>
        <v>39.748028600612869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337200</v>
      </c>
      <c r="M335" s="427">
        <f t="shared" ca="1" si="47"/>
        <v>244750</v>
      </c>
      <c r="N335" s="427">
        <f t="shared" ca="1" si="47"/>
        <v>97283.3</v>
      </c>
      <c r="O335" s="427">
        <f t="shared" ca="1" si="45"/>
        <v>28.85032621589561</v>
      </c>
      <c r="P335" s="427">
        <f t="shared" ca="1" si="46"/>
        <v>39.748028600612869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337200</v>
      </c>
      <c r="M336" s="427">
        <f ca="1">M337+M338</f>
        <v>244750</v>
      </c>
      <c r="N336" s="427">
        <f ca="1">N337+N338</f>
        <v>97283.3</v>
      </c>
      <c r="O336" s="427">
        <f t="shared" ca="1" si="45"/>
        <v>28.85032621589561</v>
      </c>
      <c r="P336" s="427">
        <f t="shared" ca="1" si="46"/>
        <v>39.748028600612869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IFERROR(__xludf.DUMMYFUNCTION("IMPORTRANGE(""https://docs.google.com/spreadsheets/d/1-uDff_7J0KD5mKrp0Vvzr7lt3OU09vwQwhkpOPPYv2Y/edit?usp=sharing"",""งบพรบ!ES61"")"),337200)</f>
        <v>337200</v>
      </c>
      <c r="M338" s="427">
        <f ca="1">IFERROR(__xludf.DUMMYFUNCTION("IMPORTRANGE(""https://docs.google.com/spreadsheets/d/1-uDff_7J0KD5mKrp0Vvzr7lt3OU09vwQwhkpOPPYv2Y/edit?usp=sharing"",""งบพรบ!EX61"")"),244750)</f>
        <v>244750</v>
      </c>
      <c r="N338" s="427">
        <f ca="1">IFERROR(__xludf.DUMMYFUNCTION("IMPORTRANGE(""https://docs.google.com/spreadsheets/d/1-uDff_7J0KD5mKrp0Vvzr7lt3OU09vwQwhkpOPPYv2Y/edit?usp=sharing"",""งบพรบ!EZ61"")"),97283.3)</f>
        <v>97283.3</v>
      </c>
      <c r="O338" s="427">
        <f t="shared" ca="1" si="45"/>
        <v>28.85032621589561</v>
      </c>
      <c r="P338" s="427">
        <f t="shared" ca="1" si="46"/>
        <v>39.748028600612869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IFERROR(__xludf.DUMMYFUNCTION("IMPORTRANGE(""https://docs.google.com/spreadsheets/d/1-uDff_7J0KD5mKrp0Vvzr7lt3OU09vwQwhkpOPPYv2Y/edit?usp=sharing"",""งบพรบ!EV61"")"),0)</f>
        <v>0</v>
      </c>
      <c r="M341" s="427">
        <f ca="1">IFERROR(__xludf.DUMMYFUNCTION("IMPORTRANGE(""https://docs.google.com/spreadsheets/d/1-uDff_7J0KD5mKrp0Vvzr7lt3OU09vwQwhkpOPPYv2Y/edit?usp=sharing"",""งบพรบ!EY61"")"),0)</f>
        <v>0</v>
      </c>
      <c r="N341" s="427">
        <f ca="1">IFERROR(__xludf.DUMMYFUNCTION("IMPORTRANGE(""https://docs.google.com/spreadsheets/d/1-uDff_7J0KD5mKrp0Vvzr7lt3OU09vwQwhkpOPPYv2Y/edit?usp=sharing"",""งบพรบ!FA61"")"),0)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144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IFERROR(__xludf.DUMMYFUNCTION("IMPORTRANGE(""https://docs.google.com/spreadsheets/d/1eHaY18a8A9IcSdp1K8H6x8fbOy06t2VsZHhMHf-1x7Y/edit?usp=sharing"",""แผน!EK61"")"),940)</f>
        <v>940</v>
      </c>
      <c r="J344" s="426">
        <f ca="1">IFERROR(__xludf.DUMMYFUNCTION("IMPORTRANGE(""https://docs.google.com/spreadsheets/d/1awYsYK3VOup2i3Pq_Yjnu8DRu_mYwSBnCR2QPthd0rU/edit?usp=sharing"",""ศูนย์ยกเว้นโฉนด!D61"")"),120)</f>
        <v>120</v>
      </c>
      <c r="K344" s="427">
        <f ca="1">IF(I344&gt;0,J344*100/I344,0)</f>
        <v>12.76595744680851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IFERROR(__xludf.DUMMYFUNCTION("IMPORTRANGE(""https://docs.google.com/spreadsheets/d/1eHaY18a8A9IcSdp1K8H6x8fbOy06t2VsZHhMHf-1x7Y/edit?usp=sharing"",""แผน!EL61"")"),1)</f>
        <v>1</v>
      </c>
      <c r="J346" s="426">
        <f ca="1">IFERROR(__xludf.DUMMYFUNCTION("IMPORTRANGE(""https://docs.google.com/spreadsheets/d/1awYsYK3VOup2i3Pq_Yjnu8DRu_mYwSBnCR2QPthd0rU/edit?usp=sharing"",""ศูนย์รวม!E61"")"),0)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IFERROR(__xludf.DUMMYFUNCTION("IMPORTRANGE(""https://docs.google.com/spreadsheets/d/1awYsYK3VOup2i3Pq_Yjnu8DRu_mYwSBnCR2QPthd0rU/edit?usp=sharing"",""ศูนย์ยกเว้นโฉนด!F61"")"),0)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IFERROR(__xludf.DUMMYFUNCTION("IMPORTRANGE(""https://docs.google.com/spreadsheets/d/1awYsYK3VOup2i3Pq_Yjnu8DRu_mYwSBnCR2QPthd0rU/edit?usp=sharing"",""ศูนย์ยกเว้นโฉนด!G61"")"),24)</f>
        <v>24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IFERROR(__xludf.DUMMYFUNCTION("IMPORTRANGE(""https://docs.google.com/spreadsheets/d/1awYsYK3VOup2i3Pq_Yjnu8DRu_mYwSBnCR2QPthd0rU/edit?usp=sharing"",""โฉนดM3!G61"")"),0)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IFERROR(__xludf.DUMMYFUNCTION("IMPORTRANGE(""https://docs.google.com/spreadsheets/d/1awYsYK3VOup2i3Pq_Yjnu8DRu_mYwSBnCR2QPthd0rU/edit?usp=sharing"",""โฉนดM3!H61"")"),0)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116090</v>
      </c>
      <c r="M356" s="715">
        <f ca="1">M357+M358</f>
        <v>90090</v>
      </c>
      <c r="N356" s="715">
        <f ca="1">N357+N358</f>
        <v>19000</v>
      </c>
      <c r="O356" s="715">
        <f t="shared" ref="O356:O364" ca="1" si="48">IF(L356&gt;0,N356*100/L356,0)</f>
        <v>16.366612111292962</v>
      </c>
      <c r="P356" s="715">
        <f t="shared" ref="P356:P364" ca="1" si="49">IF(M356&gt;0,N356*100/M356,0)</f>
        <v>21.090021090021089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116090</v>
      </c>
      <c r="M358" s="427">
        <f t="shared" ca="1" si="50"/>
        <v>90090</v>
      </c>
      <c r="N358" s="427">
        <f t="shared" ca="1" si="50"/>
        <v>19000</v>
      </c>
      <c r="O358" s="427">
        <f t="shared" ca="1" si="48"/>
        <v>16.366612111292962</v>
      </c>
      <c r="P358" s="427">
        <f t="shared" ca="1" si="49"/>
        <v>21.090021090021089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116090</v>
      </c>
      <c r="M359" s="427">
        <f ca="1">M360+M361</f>
        <v>90090</v>
      </c>
      <c r="N359" s="427">
        <f ca="1">N360+N361</f>
        <v>19000</v>
      </c>
      <c r="O359" s="427">
        <f t="shared" ca="1" si="48"/>
        <v>16.366612111292962</v>
      </c>
      <c r="P359" s="427">
        <f t="shared" ca="1" si="49"/>
        <v>21.090021090021089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IFERROR(__xludf.DUMMYFUNCTION("IMPORTRANGE(""https://docs.google.com/spreadsheets/d/1-uDff_7J0KD5mKrp0Vvzr7lt3OU09vwQwhkpOPPYv2Y/edit?usp=sharing"",""งบพรบ!FC61"")"),116090)</f>
        <v>116090</v>
      </c>
      <c r="M361" s="427">
        <f ca="1">IFERROR(__xludf.DUMMYFUNCTION("IMPORTRANGE(""https://docs.google.com/spreadsheets/d/1-uDff_7J0KD5mKrp0Vvzr7lt3OU09vwQwhkpOPPYv2Y/edit?usp=sharing"",""งบพรบ!FH61"")"),90090)</f>
        <v>90090</v>
      </c>
      <c r="N361" s="427">
        <f ca="1">IFERROR(__xludf.DUMMYFUNCTION("IMPORTRANGE(""https://docs.google.com/spreadsheets/d/1-uDff_7J0KD5mKrp0Vvzr7lt3OU09vwQwhkpOPPYv2Y/edit?usp=sharing"",""งบพรบ!FJ61"")"),19000)</f>
        <v>19000</v>
      </c>
      <c r="O361" s="427">
        <f t="shared" ca="1" si="48"/>
        <v>16.366612111292962</v>
      </c>
      <c r="P361" s="427">
        <f t="shared" ca="1" si="49"/>
        <v>21.090021090021089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IFERROR(__xludf.DUMMYFUNCTION("IMPORTRANGE(""https://docs.google.com/spreadsheets/d/1-uDff_7J0KD5mKrp0Vvzr7lt3OU09vwQwhkpOPPYv2Y/edit?usp=sharing"",""งบพรบ!FF61"")"),0)</f>
        <v>0</v>
      </c>
      <c r="M364" s="427">
        <f ca="1">IFERROR(__xludf.DUMMYFUNCTION("IMPORTRANGE(""https://docs.google.com/spreadsheets/d/1-uDff_7J0KD5mKrp0Vvzr7lt3OU09vwQwhkpOPPYv2Y/edit?usp=sharing"",""งบพรบ!FI61"")"),0)</f>
        <v>0</v>
      </c>
      <c r="N364" s="427">
        <f ca="1">IFERROR(__xludf.DUMMYFUNCTION("IMPORTRANGE(""https://docs.google.com/spreadsheets/d/1-uDff_7J0KD5mKrp0Vvzr7lt3OU09vwQwhkpOPPYv2Y/edit?usp=sharing"",""งบพรบ!FK61"")"),0)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IFERROR(__xludf.DUMMYFUNCTION("IMPORTRANGE(""https://docs.google.com/spreadsheets/d/1tdoBKaGub7dwA3U6UFTqxio9LNnvDCQjHKmttSEBsFQ/edit?usp=sharing"",""จัดที่ดิน!AB61"")"),0)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IFERROR(__xludf.DUMMYFUNCTION("IMPORTRANGE(""https://docs.google.com/spreadsheets/d/1eHaY18a8A9IcSdp1K8H6x8fbOy06t2VsZHhMHf-1x7Y/edit?usp=sharing"",""แผน!EW61"")"),0)</f>
        <v>0</v>
      </c>
      <c r="J368" s="704">
        <f ca="1">IFERROR(__xludf.DUMMYFUNCTION("IMPORTRANGE(""https://docs.google.com/spreadsheets/d/1tdoBKaGub7dwA3U6UFTqxio9LNnvDCQjHKmttSEBsFQ/edit?usp=sharing"",""จัดที่ดิน!AC61"")"),0)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IFERROR(__xludf.DUMMYFUNCTION("IMPORTRANGE(""https://docs.google.com/spreadsheets/d/1eHaY18a8A9IcSdp1K8H6x8fbOy06t2VsZHhMHf-1x7Y/edit?usp=sharing"",""แผน!EX61"")"),0)</f>
        <v>0</v>
      </c>
      <c r="J369" s="426">
        <f ca="1">IFERROR(__xludf.DUMMYFUNCTION("IMPORTRANGE(""https://docs.google.com/spreadsheets/d/1tdoBKaGub7dwA3U6UFTqxio9LNnvDCQjHKmttSEBsFQ/edit?usp=sharing"",""จัดที่ดิน!AD61"")"),0)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IFERROR(__xludf.DUMMYFUNCTION("IMPORTRANGE(""https://docs.google.com/spreadsheets/d/1tdoBKaGub7dwA3U6UFTqxio9LNnvDCQjHKmttSEBsFQ/edit?usp=sharing"",""จัดที่ดิน!AE61"")"),0)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IFERROR(__xludf.DUMMYFUNCTION("IMPORTRANGE(""https://docs.google.com/spreadsheets/d/1eHaY18a8A9IcSdp1K8H6x8fbOy06t2VsZHhMHf-1x7Y/edit?usp=sharing"",""แผน!EY61"")"),0)</f>
        <v>0</v>
      </c>
      <c r="J371" s="426">
        <f ca="1">IFERROR(__xludf.DUMMYFUNCTION("IMPORTRANGE(""https://docs.google.com/spreadsheets/d/1tdoBKaGub7dwA3U6UFTqxio9LNnvDCQjHKmttSEBsFQ/edit?usp=sharing"",""จัดที่ดิน!AF61"")"),0)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IFERROR(__xludf.DUMMYFUNCTION("IMPORTRANGE(""https://docs.google.com/spreadsheets/d/1tdoBKaGub7dwA3U6UFTqxio9LNnvDCQjHKmttSEBsFQ/edit?usp=sharing"",""จัดที่ดิน!AG61"")"),0)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IFERROR(__xludf.DUMMYFUNCTION("IMPORTRANGE(""https://docs.google.com/spreadsheets/d/1-uDff_7J0KD5mKrp0Vvzr7lt3OU09vwQwhkpOPPYv2Y/edit?usp=sharing"",""งบพรบ!FM61"")"),0)</f>
        <v>0</v>
      </c>
      <c r="M382" s="502">
        <f ca="1">IFERROR(__xludf.DUMMYFUNCTION("IMPORTRANGE(""https://docs.google.com/spreadsheets/d/1-uDff_7J0KD5mKrp0Vvzr7lt3OU09vwQwhkpOPPYv2Y/edit?usp=sharing"",""งบพรบ!FR61"")"),0)</f>
        <v>0</v>
      </c>
      <c r="N382" s="502">
        <f ca="1">IFERROR(__xludf.DUMMYFUNCTION("IMPORTRANGE(""https://docs.google.com/spreadsheets/d/1-uDff_7J0KD5mKrp0Vvzr7lt3OU09vwQwhkpOPPYv2Y/edit?usp=sharing"",""งบพรบ!FT61"")"),0)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IFERROR(__xludf.DUMMYFUNCTION("IMPORTRANGE(""https://docs.google.com/spreadsheets/d/1-uDff_7J0KD5mKrp0Vvzr7lt3OU09vwQwhkpOPPYv2Y/edit?usp=sharing"",""งบพรบ!FP61"")"),0)</f>
        <v>0</v>
      </c>
      <c r="M385" s="502">
        <f ca="1">IFERROR(__xludf.DUMMYFUNCTION("IMPORTRANGE(""https://docs.google.com/spreadsheets/d/1-uDff_7J0KD5mKrp0Vvzr7lt3OU09vwQwhkpOPPYv2Y/edit?usp=sharing"",""งบพรบ!FS61"")"),0)</f>
        <v>0</v>
      </c>
      <c r="N385" s="502">
        <f ca="1">IFERROR(__xludf.DUMMYFUNCTION("IMPORTRANGE(""https://docs.google.com/spreadsheets/d/1-uDff_7J0KD5mKrp0Vvzr7lt3OU09vwQwhkpOPPYv2Y/edit?usp=sharing"",""งบพรบ!FU61"")"),0)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8A87-F887-4D1F-97E0-40DB7215A262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1209180</v>
      </c>
      <c r="M18" s="843">
        <f ca="1">M19+M20</f>
        <v>970880</v>
      </c>
      <c r="N18" s="843">
        <f ca="1">N19+N20</f>
        <v>507657.01</v>
      </c>
      <c r="O18" s="843">
        <f t="shared" ref="O18:O26" ca="1" si="0">IF(L18&gt;0,N18*100/L18,0)</f>
        <v>41.983576473312496</v>
      </c>
      <c r="P18" s="843">
        <f t="shared" ref="P18:P26" ca="1" si="1">IF(M18&gt;0,N18*100/M18,0)</f>
        <v>52.288337384640741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1209180</v>
      </c>
      <c r="M20" s="947">
        <f t="shared" ca="1" si="2"/>
        <v>970880</v>
      </c>
      <c r="N20" s="947">
        <f t="shared" ca="1" si="2"/>
        <v>507657.01</v>
      </c>
      <c r="O20" s="947">
        <f t="shared" ca="1" si="0"/>
        <v>41.983576473312496</v>
      </c>
      <c r="P20" s="947">
        <f t="shared" ca="1" si="1"/>
        <v>52.288337384640741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1209180</v>
      </c>
      <c r="M21" s="427">
        <f ca="1">M22+M23</f>
        <v>970880</v>
      </c>
      <c r="N21" s="427">
        <f ca="1">N22+N23</f>
        <v>507657.01</v>
      </c>
      <c r="O21" s="427">
        <f t="shared" ca="1" si="0"/>
        <v>41.983576473312496</v>
      </c>
      <c r="P21" s="427">
        <f t="shared" ca="1" si="1"/>
        <v>52.288337384640741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1209180</v>
      </c>
      <c r="M23" s="427">
        <f t="shared" ca="1" si="3"/>
        <v>970880</v>
      </c>
      <c r="N23" s="427">
        <f t="shared" ca="1" si="3"/>
        <v>507657.01</v>
      </c>
      <c r="O23" s="427">
        <f t="shared" ca="1" si="0"/>
        <v>41.983576473312496</v>
      </c>
      <c r="P23" s="427">
        <f t="shared" ca="1" si="1"/>
        <v>52.288337384640741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1209180</v>
      </c>
      <c r="M40" s="940">
        <f ca="1">M44+M59+M72+M94+M125+M139+M157+M173+M186+M266+M282+M303+M320+M333+M356</f>
        <v>970880</v>
      </c>
      <c r="N40" s="940">
        <f ca="1">N44+N59+N72+N94+N125+N139+N157+N173+N186+N266+N282+N303+N320+N333+N356</f>
        <v>507657.01</v>
      </c>
      <c r="O40" s="940">
        <f ca="1">IF(L40&gt;0,N40*100/L40,0)</f>
        <v>41.983576473312496</v>
      </c>
      <c r="P40" s="940">
        <f ca="1">IF(M40&gt;0,N40*100/M40,0)</f>
        <v>52.288337384640741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192600</v>
      </c>
      <c r="M44" s="925">
        <f ca="1">M45+M46</f>
        <v>197100</v>
      </c>
      <c r="N44" s="925">
        <f ca="1">N45+N46</f>
        <v>130800</v>
      </c>
      <c r="O44" s="925">
        <f t="shared" ref="O44:O52" ca="1" si="5">IF(L44&gt;0,N44*100/L44,0)</f>
        <v>67.912772585669785</v>
      </c>
      <c r="P44" s="925">
        <f t="shared" ref="P44:P52" ca="1" si="6">IF(M44&gt;0,N44*100/M44,0)</f>
        <v>66.362252663622527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192600</v>
      </c>
      <c r="M46" s="917">
        <f t="shared" ca="1" si="7"/>
        <v>197100</v>
      </c>
      <c r="N46" s="917">
        <f t="shared" ca="1" si="7"/>
        <v>130800</v>
      </c>
      <c r="O46" s="917">
        <f t="shared" ca="1" si="5"/>
        <v>67.912772585669785</v>
      </c>
      <c r="P46" s="917">
        <f t="shared" ca="1" si="6"/>
        <v>66.362252663622527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192600</v>
      </c>
      <c r="M47" s="427">
        <f ca="1">M48+M49</f>
        <v>197100</v>
      </c>
      <c r="N47" s="427">
        <f ca="1">N48+N49</f>
        <v>130800</v>
      </c>
      <c r="O47" s="427">
        <f t="shared" ca="1" si="5"/>
        <v>67.912772585669785</v>
      </c>
      <c r="P47" s="427">
        <f t="shared" ca="1" si="6"/>
        <v>66.362252663622527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IFERROR(__xludf.DUMMYFUNCTION("IMPORTRANGE(""https://docs.google.com/spreadsheets/d/1-uDff_7J0KD5mKrp0Vvzr7lt3OU09vwQwhkpOPPYv2Y/edit?usp=sharing"",""งบพรบ!P62"")"),192600)</f>
        <v>192600</v>
      </c>
      <c r="M49" s="427">
        <f ca="1">IFERROR(__xludf.DUMMYFUNCTION("IMPORTRANGE(""https://docs.google.com/spreadsheets/d/1-uDff_7J0KD5mKrp0Vvzr7lt3OU09vwQwhkpOPPYv2Y/edit?usp=sharing"",""งบพรบ!V62"")"),197100)</f>
        <v>197100</v>
      </c>
      <c r="N49" s="427">
        <f ca="1">IFERROR(__xludf.DUMMYFUNCTION("IMPORTRANGE(""https://docs.google.com/spreadsheets/d/1-uDff_7J0KD5mKrp0Vvzr7lt3OU09vwQwhkpOPPYv2Y/edit?usp=sharing"",""งบพรบ!Y62"")"),130800)</f>
        <v>130800</v>
      </c>
      <c r="O49" s="427">
        <f t="shared" ca="1" si="5"/>
        <v>67.912772585669785</v>
      </c>
      <c r="P49" s="427">
        <f t="shared" ca="1" si="6"/>
        <v>66.362252663622527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IFERROR(__xludf.DUMMYFUNCTION("IMPORTRANGE(""https://docs.google.com/spreadsheets/d/1-uDff_7J0KD5mKrp0Vvzr7lt3OU09vwQwhkpOPPYv2Y/edit?usp=sharing"",""งบพรบ!S62"")"),0)</f>
        <v>0</v>
      </c>
      <c r="M52" s="427">
        <f ca="1">IFERROR(__xludf.DUMMYFUNCTION("IMPORTRANGE(""https://docs.google.com/spreadsheets/d/1-uDff_7J0KD5mKrp0Vvzr7lt3OU09vwQwhkpOPPYv2Y/edit?usp=sharing"",""งบพรบ!W62"")"),0)</f>
        <v>0</v>
      </c>
      <c r="N52" s="427">
        <f ca="1">IFERROR(__xludf.DUMMYFUNCTION("IMPORTRANGE(""https://docs.google.com/spreadsheets/d/1-uDff_7J0KD5mKrp0Vvzr7lt3OU09vwQwhkpOPPYv2Y/edit?usp=sharing"",""งบพรบ!Z62"")"),0)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393200</v>
      </c>
      <c r="M59" s="899">
        <f ca="1">M60+M61</f>
        <v>296850</v>
      </c>
      <c r="N59" s="899">
        <f ca="1">N60+N61</f>
        <v>249555.12</v>
      </c>
      <c r="O59" s="899">
        <f t="shared" ref="O59:O67" ca="1" si="8">IF(L59&gt;0,N59*100/L59,0)</f>
        <v>63.46773143438454</v>
      </c>
      <c r="P59" s="899">
        <f t="shared" ref="P59:P67" ca="1" si="9">IF(M59&gt;0,N59*100/M59,0)</f>
        <v>84.067751389590697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393200</v>
      </c>
      <c r="M61" s="891">
        <f t="shared" ca="1" si="10"/>
        <v>296850</v>
      </c>
      <c r="N61" s="891">
        <f t="shared" ca="1" si="10"/>
        <v>249555.12</v>
      </c>
      <c r="O61" s="891">
        <f t="shared" ca="1" si="8"/>
        <v>63.46773143438454</v>
      </c>
      <c r="P61" s="891">
        <f t="shared" ca="1" si="9"/>
        <v>84.067751389590697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393200</v>
      </c>
      <c r="M62" s="427">
        <f ca="1">M63+M64</f>
        <v>296850</v>
      </c>
      <c r="N62" s="427">
        <f ca="1">N63+N64</f>
        <v>249555.12</v>
      </c>
      <c r="O62" s="427">
        <f t="shared" ca="1" si="8"/>
        <v>63.46773143438454</v>
      </c>
      <c r="P62" s="427">
        <f t="shared" ca="1" si="9"/>
        <v>84.067751389590697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IFERROR(__xludf.DUMMYFUNCTION("IMPORTRANGE(""https://docs.google.com/spreadsheets/d/1-uDff_7J0KD5mKrp0Vvzr7lt3OU09vwQwhkpOPPYv2Y/edit?usp=sharing"",""งบพรบ!AC62"")"),393200)</f>
        <v>393200</v>
      </c>
      <c r="M64" s="427">
        <f ca="1">IFERROR(__xludf.DUMMYFUNCTION("IMPORTRANGE(""https://docs.google.com/spreadsheets/d/1-uDff_7J0KD5mKrp0Vvzr7lt3OU09vwQwhkpOPPYv2Y/edit?usp=sharing"",""งบพรบ!AH62"")"),296850)</f>
        <v>296850</v>
      </c>
      <c r="N64" s="427">
        <f ca="1">IFERROR(__xludf.DUMMYFUNCTION("IMPORTRANGE(""https://docs.google.com/spreadsheets/d/1-uDff_7J0KD5mKrp0Vvzr7lt3OU09vwQwhkpOPPYv2Y/edit?usp=sharing"",""งบพรบ!AJ62"")"),249555.12)</f>
        <v>249555.12</v>
      </c>
      <c r="O64" s="427">
        <f t="shared" ca="1" si="8"/>
        <v>63.46773143438454</v>
      </c>
      <c r="P64" s="427">
        <f t="shared" ca="1" si="9"/>
        <v>84.067751389590697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IFERROR(__xludf.DUMMYFUNCTION("IMPORTRANGE(""https://docs.google.com/spreadsheets/d/1-uDff_7J0KD5mKrp0Vvzr7lt3OU09vwQwhkpOPPYv2Y/edit?usp=sharing"",""งบพรบ!AF62"")"),0)</f>
        <v>0</v>
      </c>
      <c r="M67" s="624">
        <f ca="1">IFERROR(__xludf.DUMMYFUNCTION("IMPORTRANGE(""https://docs.google.com/spreadsheets/d/1-uDff_7J0KD5mKrp0Vvzr7lt3OU09vwQwhkpOPPYv2Y/edit?usp=sharing"",""งบพรบ!AI62"")"),0)</f>
        <v>0</v>
      </c>
      <c r="N67" s="624">
        <f ca="1">IFERROR(__xludf.DUMMYFUNCTION("IMPORTRANGE(""https://docs.google.com/spreadsheets/d/1-uDff_7J0KD5mKrp0Vvzr7lt3OU09vwQwhkpOPPYv2Y/edit?usp=sharing"",""งบพรบ!AK62"")"),0)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IFERROR(__xludf.DUMMYFUNCTION("IMPORTRANGE(""https://docs.google.com/spreadsheets/d/1-uDff_7J0KD5mKrp0Vvzr7lt3OU09vwQwhkpOPPYv2Y/edit?usp=sharing"",""งบพรบ!AM62"")"),0)</f>
        <v>0</v>
      </c>
      <c r="M77" s="427">
        <f ca="1">IFERROR(__xludf.DUMMYFUNCTION("IMPORTRANGE(""https://docs.google.com/spreadsheets/d/1-uDff_7J0KD5mKrp0Vvzr7lt3OU09vwQwhkpOPPYv2Y/edit?usp=sharing"",""งบพรบ!AR62"")"),0)</f>
        <v>0</v>
      </c>
      <c r="N77" s="427">
        <f ca="1">IFERROR(__xludf.DUMMYFUNCTION("IMPORTRANGE(""https://docs.google.com/spreadsheets/d/1-uDff_7J0KD5mKrp0Vvzr7lt3OU09vwQwhkpOPPYv2Y/edit?usp=sharing"",""งบพรบ!AT62"")"),0)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IFERROR(__xludf.DUMMYFUNCTION("IMPORTRANGE(""https://docs.google.com/spreadsheets/d/1-uDff_7J0KD5mKrp0Vvzr7lt3OU09vwQwhkpOPPYv2Y/edit?usp=sharing"",""งบพรบ!AP62"")"),0)</f>
        <v>0</v>
      </c>
      <c r="M80" s="427">
        <f ca="1">IFERROR(__xludf.DUMMYFUNCTION("IMPORTRANGE(""https://docs.google.com/spreadsheets/d/1-uDff_7J0KD5mKrp0Vvzr7lt3OU09vwQwhkpOPPYv2Y/edit?usp=sharing"",""งบพรบ!AS62"")"),0)</f>
        <v>0</v>
      </c>
      <c r="N80" s="427">
        <f ca="1">IFERROR(__xludf.DUMMYFUNCTION("IMPORTRANGE(""https://docs.google.com/spreadsheets/d/1-uDff_7J0KD5mKrp0Vvzr7lt3OU09vwQwhkpOPPYv2Y/edit?usp=sharing"",""งบพรบ!AU62"")"),0)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IFERROR(__xludf.DUMMYFUNCTION("IMPORTRANGE(""https://docs.google.com/spreadsheets/d/1eHaY18a8A9IcSdp1K8H6x8fbOy06t2VsZHhMHf-1x7Y/edit?usp=sharing"",""แผน!H62"")"),0)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IFERROR(__xludf.DUMMYFUNCTION("IMPORTRANGE(""https://docs.google.com/spreadsheets/d/1eHaY18a8A9IcSdp1K8H6x8fbOy06t2VsZHhMHf-1x7Y/edit?usp=sharing"",""แผน!I62"")"),0)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IFERROR(__xludf.DUMMYFUNCTION("IMPORTRANGE(""https://docs.google.com/spreadsheets/d/1eHaY18a8A9IcSdp1K8H6x8fbOy06t2VsZHhMHf-1x7Y/edit?usp=sharing"",""แผน!F62"")"),0)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IFERROR(__xludf.DUMMYFUNCTION("IMPORTRANGE(""https://docs.google.com/spreadsheets/d/1eHaY18a8A9IcSdp1K8H6x8fbOy06t2VsZHhMHf-1x7Y/edit?usp=sharing"",""แผน!G62"")"),0)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IFERROR(__xludf.DUMMYFUNCTION("IMPORTRANGE(""https://docs.google.com/spreadsheets/d/1eHaY18a8A9IcSdp1K8H6x8fbOy06t2VsZHhMHf-1x7Y/edit?usp=sharing"",""แผน!D62"")"),0)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IFERROR(__xludf.DUMMYFUNCTION("IMPORTRANGE(""https://docs.google.com/spreadsheets/d/1eHaY18a8A9IcSdp1K8H6x8fbOy06t2VsZHhMHf-1x7Y/edit?usp=sharing"",""แผน!E62"")"),0)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IFERROR(__xludf.DUMMYFUNCTION("IMPORTRANGE(""https://docs.google.com/spreadsheets/d/1eHaY18a8A9IcSdp1K8H6x8fbOy06t2VsZHhMHf-1x7Y/edit?usp=sharing"",""แผน!J62"")"),0)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IFERROR(__xludf.DUMMYFUNCTION("IMPORTRANGE(""https://docs.google.com/spreadsheets/d/1-uDff_7J0KD5mKrp0Vvzr7lt3OU09vwQwhkpOPPYv2Y/edit?usp=sharing"",""งบพรบ!AW62"")"),0)</f>
        <v>0</v>
      </c>
      <c r="M99" s="427">
        <f ca="1">IFERROR(__xludf.DUMMYFUNCTION("IMPORTRANGE(""https://docs.google.com/spreadsheets/d/1-uDff_7J0KD5mKrp0Vvzr7lt3OU09vwQwhkpOPPYv2Y/edit?usp=sharing"",""งบพรบ!BB62"")"),0)</f>
        <v>0</v>
      </c>
      <c r="N99" s="427">
        <f ca="1">IFERROR(__xludf.DUMMYFUNCTION("IMPORTRANGE(""https://docs.google.com/spreadsheets/d/1-uDff_7J0KD5mKrp0Vvzr7lt3OU09vwQwhkpOPPYv2Y/edit?usp=sharing"",""งบพรบ!BD62"")"),0)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IFERROR(__xludf.DUMMYFUNCTION("IMPORTRANGE(""https://docs.google.com/spreadsheets/d/1-uDff_7J0KD5mKrp0Vvzr7lt3OU09vwQwhkpOPPYv2Y/edit?usp=sharing"",""งบพรบ!AZ62"")"),0)</f>
        <v>0</v>
      </c>
      <c r="M102" s="427">
        <f ca="1">IFERROR(__xludf.DUMMYFUNCTION("IMPORTRANGE(""https://docs.google.com/spreadsheets/d/1-uDff_7J0KD5mKrp0Vvzr7lt3OU09vwQwhkpOPPYv2Y/edit?usp=sharing"",""งบพรบ!BC62"")"),0)</f>
        <v>0</v>
      </c>
      <c r="N102" s="427">
        <f ca="1">IFERROR(__xludf.DUMMYFUNCTION("IMPORTRANGE(""https://docs.google.com/spreadsheets/d/1-uDff_7J0KD5mKrp0Vvzr7lt3OU09vwQwhkpOPPYv2Y/edit?usp=sharing"",""งบพรบ!BE62"")"),0)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IFERROR(__xludf.DUMMYFUNCTION("IMPORTRANGE(""https://docs.google.com/spreadsheets/d/1eHaY18a8A9IcSdp1K8H6x8fbOy06t2VsZHhMHf-1x7Y/edit?usp=sharing"",""แผน!N62"")"),0)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IFERROR(__xludf.DUMMYFUNCTION("IMPORTRANGE(""https://docs.google.com/spreadsheets/d/1eHaY18a8A9IcSdp1K8H6x8fbOy06t2VsZHhMHf-1x7Y/edit?usp=sharing"",""แผน!O62"")"),0)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IFERROR(__xludf.DUMMYFUNCTION("IMPORTRANGE(""https://docs.google.com/spreadsheets/d/1eHaY18a8A9IcSdp1K8H6x8fbOy06t2VsZHhMHf-1x7Y/edit?usp=sharing"",""แผน!R62"")"),0)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IFERROR(__xludf.DUMMYFUNCTION("IMPORTRANGE(""https://docs.google.com/spreadsheets/d/1-uDff_7J0KD5mKrp0Vvzr7lt3OU09vwQwhkpOPPYv2Y/edit?usp=sharing"",""งบพรบ!BG62"")"),0)</f>
        <v>0</v>
      </c>
      <c r="M130" s="864">
        <f ca="1">IFERROR(__xludf.DUMMYFUNCTION("IMPORTRANGE(""https://docs.google.com/spreadsheets/d/1-uDff_7J0KD5mKrp0Vvzr7lt3OU09vwQwhkpOPPYv2Y/edit?usp=sharing"",""งบพรบ!BL62"")"),0)</f>
        <v>0</v>
      </c>
      <c r="N130" s="864">
        <f ca="1">IFERROR(__xludf.DUMMYFUNCTION("IMPORTRANGE(""https://docs.google.com/spreadsheets/d/1-uDff_7J0KD5mKrp0Vvzr7lt3OU09vwQwhkpOPPYv2Y/edit?usp=sharing"",""งบพรบ!BN62"")"),0)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IFERROR(__xludf.DUMMYFUNCTION("IMPORTRANGE(""https://docs.google.com/spreadsheets/d/1-uDff_7J0KD5mKrp0Vvzr7lt3OU09vwQwhkpOPPYv2Y/edit?usp=sharing"",""งบพรบ!BJ62"")"),0)</f>
        <v>0</v>
      </c>
      <c r="M133" s="864">
        <f ca="1">IFERROR(__xludf.DUMMYFUNCTION("IMPORTRANGE(""https://docs.google.com/spreadsheets/d/1-uDff_7J0KD5mKrp0Vvzr7lt3OU09vwQwhkpOPPYv2Y/edit?usp=sharing"",""งบพรบ!BM62"")"),0)</f>
        <v>0</v>
      </c>
      <c r="N133" s="864">
        <f ca="1">IFERROR(__xludf.DUMMYFUNCTION("IMPORTRANGE(""https://docs.google.com/spreadsheets/d/1-uDff_7J0KD5mKrp0Vvzr7lt3OU09vwQwhkpOPPYv2Y/edit?usp=sharing"",""งบพรบ!BO62"")"),0)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IFERROR(__xludf.DUMMYFUNCTION("IMPORTRANGE(""https://docs.google.com/spreadsheets/d/1-uDff_7J0KD5mKrp0Vvzr7lt3OU09vwQwhkpOPPYv2Y/edit?usp=sharing"",""งบพรบ!BQ62"")"),0)</f>
        <v>0</v>
      </c>
      <c r="M144" s="427">
        <f ca="1">IFERROR(__xludf.DUMMYFUNCTION("IMPORTRANGE(""https://docs.google.com/spreadsheets/d/1-uDff_7J0KD5mKrp0Vvzr7lt3OU09vwQwhkpOPPYv2Y/edit?usp=sharing"",""งบพรบ!BV62"")"),0)</f>
        <v>0</v>
      </c>
      <c r="N144" s="427">
        <f ca="1">IFERROR(__xludf.DUMMYFUNCTION("IMPORTRANGE(""https://docs.google.com/spreadsheets/d/1-uDff_7J0KD5mKrp0Vvzr7lt3OU09vwQwhkpOPPYv2Y/edit?usp=sharing"",""งบพรบ!BX62"")"),0)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IFERROR(__xludf.DUMMYFUNCTION("IMPORTRANGE(""https://docs.google.com/spreadsheets/d/1-uDff_7J0KD5mKrp0Vvzr7lt3OU09vwQwhkpOPPYv2Y/edit?usp=sharing"",""งบพรบ!BT62"")"),0)</f>
        <v>0</v>
      </c>
      <c r="M147" s="427">
        <f ca="1">IFERROR(__xludf.DUMMYFUNCTION("IMPORTRANGE(""https://docs.google.com/spreadsheets/d/1-uDff_7J0KD5mKrp0Vvzr7lt3OU09vwQwhkpOPPYv2Y/edit?usp=sharing"",""งบพรบ!BW62"")"),0)</f>
        <v>0</v>
      </c>
      <c r="N147" s="427">
        <f ca="1">IFERROR(__xludf.DUMMYFUNCTION("IMPORTRANGE(""https://docs.google.com/spreadsheets/d/1-uDff_7J0KD5mKrp0Vvzr7lt3OU09vwQwhkpOPPYv2Y/edit?usp=sharing"",""งบพรบ!BY62"")"),0)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IFERROR(__xludf.DUMMYFUNCTION("IMPORTRANGE(""https://docs.google.com/spreadsheets/d/1eHaY18a8A9IcSdp1K8H6x8fbOy06t2VsZHhMHf-1x7Y/edit?usp=sharing"",""แผน!U62"")"),0)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IFERROR(__xludf.DUMMYFUNCTION("IMPORTRANGE(""https://docs.google.com/spreadsheets/d/1eHaY18a8A9IcSdp1K8H6x8fbOy06t2VsZHhMHf-1x7Y/edit?usp=sharing"",""แผน!V62"")"),0)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IFERROR(__xludf.DUMMYFUNCTION("IMPORTRANGE(""https://docs.google.com/spreadsheets/d/1eHaY18a8A9IcSdp1K8H6x8fbOy06t2VsZHhMHf-1x7Y/edit?usp=sharing"",""แผน!W62"")"),0)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IFERROR(__xludf.DUMMYFUNCTION("IMPORTRANGE(""https://docs.google.com/spreadsheets/d/1eHaY18a8A9IcSdp1K8H6x8fbOy06t2VsZHhMHf-1x7Y/edit?usp=sharing"",""แผน!X62"")"),0)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IFERROR(__xludf.DUMMYFUNCTION("IMPORTRANGE(""https://docs.google.com/spreadsheets/d/1eHaY18a8A9IcSdp1K8H6x8fbOy06t2VsZHhMHf-1x7Y/edit?usp=sharing"",""แผน!Y62"")"),0)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IFERROR(__xludf.DUMMYFUNCTION("IMPORTRANGE(""https://docs.google.com/spreadsheets/d/1-uDff_7J0KD5mKrp0Vvzr7lt3OU09vwQwhkpOPPYv2Y/edit?usp=sharing"",""งบพรบ!CA62"")"),3000)</f>
        <v>3000</v>
      </c>
      <c r="M162" s="427">
        <f ca="1">IFERROR(__xludf.DUMMYFUNCTION("IMPORTRANGE(""https://docs.google.com/spreadsheets/d/1-uDff_7J0KD5mKrp0Vvzr7lt3OU09vwQwhkpOPPYv2Y/edit?usp=sharing"",""งบพรบ!CF62"")"),0)</f>
        <v>0</v>
      </c>
      <c r="N162" s="427">
        <f ca="1">IFERROR(__xludf.DUMMYFUNCTION("IMPORTRANGE(""https://docs.google.com/spreadsheets/d/1-uDff_7J0KD5mKrp0Vvzr7lt3OU09vwQwhkpOPPYv2Y/edit?usp=sharing"",""งบพรบ!CH62"")"),0)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IFERROR(__xludf.DUMMYFUNCTION("IMPORTRANGE(""https://docs.google.com/spreadsheets/d/1-uDff_7J0KD5mKrp0Vvzr7lt3OU09vwQwhkpOPPYv2Y/edit?usp=sharing"",""งบพรบ!CD62"")"),0)</f>
        <v>0</v>
      </c>
      <c r="M165" s="427">
        <f ca="1">IFERROR(__xludf.DUMMYFUNCTION("IMPORTRANGE(""https://docs.google.com/spreadsheets/d/1-uDff_7J0KD5mKrp0Vvzr7lt3OU09vwQwhkpOPPYv2Y/edit?usp=sharing"",""งบพรบ!CG62"")"),0)</f>
        <v>0</v>
      </c>
      <c r="N165" s="427">
        <f ca="1">IFERROR(__xludf.DUMMYFUNCTION("IMPORTRANGE(""https://docs.google.com/spreadsheets/d/1-uDff_7J0KD5mKrp0Vvzr7lt3OU09vwQwhkpOPPYv2Y/edit?usp=sharing"",""งบพรบ!CI62"")"),0)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IFERROR(__xludf.DUMMYFUNCTION("IMPORTRANGE(""https://docs.google.com/spreadsheets/d/1eHaY18a8A9IcSdp1K8H6x8fbOy06t2VsZHhMHf-1x7Y/edit?usp=sharing"",""แผน!Z62"")"),10)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IFERROR(__xludf.DUMMYFUNCTION("IMPORTRANGE(""https://docs.google.com/spreadsheets/d/1-uDff_7J0KD5mKrp0Vvzr7lt3OU09vwQwhkpOPPYv2Y/edit?usp=sharing"",""งบพรบ!CK62"")"),19590)</f>
        <v>19590</v>
      </c>
      <c r="M178" s="427">
        <f ca="1">IFERROR(__xludf.DUMMYFUNCTION("IMPORTRANGE(""https://docs.google.com/spreadsheets/d/1-uDff_7J0KD5mKrp0Vvzr7lt3OU09vwQwhkpOPPYv2Y/edit?usp=sharing"",""งบพรบ!CP62"")"),19590)</f>
        <v>19590</v>
      </c>
      <c r="N178" s="427">
        <f ca="1">IFERROR(__xludf.DUMMYFUNCTION("IMPORTRANGE(""https://docs.google.com/spreadsheets/d/1-uDff_7J0KD5mKrp0Vvzr7lt3OU09vwQwhkpOPPYv2Y/edit?usp=sharing"",""งบพรบ!CR62"")"),0)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IFERROR(__xludf.DUMMYFUNCTION("IMPORTRANGE(""https://docs.google.com/spreadsheets/d/1-uDff_7J0KD5mKrp0Vvzr7lt3OU09vwQwhkpOPPYv2Y/edit?usp=sharing"",""งบพรบ!CN62"")"),0)</f>
        <v>0</v>
      </c>
      <c r="M181" s="427">
        <f ca="1">IFERROR(__xludf.DUMMYFUNCTION("IMPORTRANGE(""https://docs.google.com/spreadsheets/d/1-uDff_7J0KD5mKrp0Vvzr7lt3OU09vwQwhkpOPPYv2Y/edit?usp=sharing"",""งบพรบ!CQ62"")"),0)</f>
        <v>0</v>
      </c>
      <c r="N181" s="427">
        <f ca="1">IFERROR(__xludf.DUMMYFUNCTION("IMPORTRANGE(""https://docs.google.com/spreadsheets/d/1-uDff_7J0KD5mKrp0Vvzr7lt3OU09vwQwhkpOPPYv2Y/edit?usp=sharing"",""งบพรบ!CS62"")"),0)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IFERROR(__xludf.DUMMYFUNCTION("IMPORTRANGE(""https://docs.google.com/spreadsheets/d/1eHaY18a8A9IcSdp1K8H6x8fbOy06t2VsZHhMHf-1x7Y/edit?usp=sharing"",""แผน!AA62"")"),7)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115200</v>
      </c>
      <c r="M186" s="715">
        <f ca="1">M187+M188</f>
        <v>79000</v>
      </c>
      <c r="N186" s="715">
        <f ca="1">N187+N188</f>
        <v>7770</v>
      </c>
      <c r="O186" s="715">
        <f t="shared" ref="O186:O194" ca="1" si="30">IF(L186&gt;0,N186*100/L186,0)</f>
        <v>6.744791666666667</v>
      </c>
      <c r="P186" s="715">
        <f t="shared" ref="P186:P194" ca="1" si="31">IF(M186&gt;0,N186*100/M186,0)</f>
        <v>9.8354430379746827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115200</v>
      </c>
      <c r="M188" s="427">
        <f t="shared" ca="1" si="32"/>
        <v>79000</v>
      </c>
      <c r="N188" s="427">
        <f t="shared" ca="1" si="32"/>
        <v>7770</v>
      </c>
      <c r="O188" s="427">
        <f t="shared" ca="1" si="30"/>
        <v>6.744791666666667</v>
      </c>
      <c r="P188" s="427">
        <f t="shared" ca="1" si="31"/>
        <v>9.8354430379746827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115200</v>
      </c>
      <c r="M189" s="427">
        <f ca="1">M190+M191</f>
        <v>79000</v>
      </c>
      <c r="N189" s="427">
        <f ca="1">N190+N191</f>
        <v>7770</v>
      </c>
      <c r="O189" s="427">
        <f t="shared" ca="1" si="30"/>
        <v>6.744791666666667</v>
      </c>
      <c r="P189" s="427">
        <f t="shared" ca="1" si="31"/>
        <v>9.8354430379746827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IFERROR(__xludf.DUMMYFUNCTION("IMPORTRANGE(""https://docs.google.com/spreadsheets/d/1-uDff_7J0KD5mKrp0Vvzr7lt3OU09vwQwhkpOPPYv2Y/edit?usp=sharing"",""งบพรบ!CU62"")"),115200)</f>
        <v>115200</v>
      </c>
      <c r="M191" s="427">
        <f ca="1">IFERROR(__xludf.DUMMYFUNCTION("IMPORTRANGE(""https://docs.google.com/spreadsheets/d/1-uDff_7J0KD5mKrp0Vvzr7lt3OU09vwQwhkpOPPYv2Y/edit?usp=sharing"",""งบพรบ!CZ62"")"),79000)</f>
        <v>79000</v>
      </c>
      <c r="N191" s="427">
        <f ca="1">IFERROR(__xludf.DUMMYFUNCTION("IMPORTRANGE(""https://docs.google.com/spreadsheets/d/1-uDff_7J0KD5mKrp0Vvzr7lt3OU09vwQwhkpOPPYv2Y/edit?usp=sharing"",""งบพรบ!DB62"")"),7770)</f>
        <v>7770</v>
      </c>
      <c r="O191" s="427">
        <f t="shared" ca="1" si="30"/>
        <v>6.744791666666667</v>
      </c>
      <c r="P191" s="427">
        <f t="shared" ca="1" si="31"/>
        <v>9.8354430379746827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IFERROR(__xludf.DUMMYFUNCTION("IMPORTRANGE(""https://docs.google.com/spreadsheets/d/1-uDff_7J0KD5mKrp0Vvzr7lt3OU09vwQwhkpOPPYv2Y/edit?usp=sharing"",""งบพรบ!CX62"")"),0)</f>
        <v>0</v>
      </c>
      <c r="M194" s="427">
        <f ca="1">IFERROR(__xludf.DUMMYFUNCTION("IMPORTRANGE(""https://docs.google.com/spreadsheets/d/1-uDff_7J0KD5mKrp0Vvzr7lt3OU09vwQwhkpOPPYv2Y/edit?usp=sharing"",""งบพรบ!DA62"")"),0)</f>
        <v>0</v>
      </c>
      <c r="N194" s="427">
        <f ca="1">IFERROR(__xludf.DUMMYFUNCTION("IMPORTRANGE(""https://docs.google.com/spreadsheets/d/1-uDff_7J0KD5mKrp0Vvzr7lt3OU09vwQwhkpOPPYv2Y/edit?usp=sharing"",""งบพรบ!DC62"")"),0)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IFERROR(__xludf.DUMMYFUNCTION("IMPORTRANGE(""https://docs.google.com/spreadsheets/d/1eHaY18a8A9IcSdp1K8H6x8fbOy06t2VsZHhMHf-1x7Y/edit?usp=sharing"",""แผน!AB62"")"),6000)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IFERROR(__xludf.DUMMYFUNCTION("IMPORTRANGE(""https://docs.google.com/spreadsheets/d/1eHaY18a8A9IcSdp1K8H6x8fbOy06t2VsZHhMHf-1x7Y/edit?usp=sharing"",""แผน!AE62"")"),4)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39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39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26000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IFERROR(__xludf.DUMMYFUNCTION("IMPORTRANGE(""https://docs.google.com/spreadsheets/d/1eHaY18a8A9IcSdp1K8H6x8fbOy06t2VsZHhMHf-1x7Y/edit?usp=sharing"",""แผน!AG62"")"),2000)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IFERROR(__xludf.DUMMYFUNCTION("IMPORTRANGE(""https://docs.google.com/spreadsheets/d/1eHaY18a8A9IcSdp1K8H6x8fbOy06t2VsZHhMHf-1x7Y/edit?usp=sharing"",""แผน!AH62"")"),0)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IFERROR(__xludf.DUMMYFUNCTION("IMPORTRANGE(""https://docs.google.com/spreadsheets/d/1eHaY18a8A9IcSdp1K8H6x8fbOy06t2VsZHhMHf-1x7Y/edit?usp=sharing"",""แผน!AI62"")"),16000)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IFERROR(__xludf.DUMMYFUNCTION("IMPORTRANGE(""https://docs.google.com/spreadsheets/d/1eHaY18a8A9IcSdp1K8H6x8fbOy06t2VsZHhMHf-1x7Y/edit?usp=sharing"",""แผน!AJ62"")"),8000)</f>
        <v>8000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IFERROR(__xludf.DUMMYFUNCTION("IMPORTRANGE(""https://docs.google.com/spreadsheets/d/1eHaY18a8A9IcSdp1K8H6x8fbOy06t2VsZHhMHf-1x7Y/edit?usp=sharing"",""แผน!AK62"")"),2)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IFERROR(__xludf.DUMMYFUNCTION("IMPORTRANGE(""https://docs.google.com/spreadsheets/d/1eHaY18a8A9IcSdp1K8H6x8fbOy06t2VsZHhMHf-1x7Y/edit?usp=sharing"",""แผน!JX62"")"),2)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IFERROR(__xludf.DUMMYFUNCTION("IMPORTRANGE(""https://docs.google.com/spreadsheets/d/1eHaY18a8A9IcSdp1K8H6x8fbOy06t2VsZHhMHf-1x7Y/edit?usp=sharing"",""แผน!JY62"")"),0)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IFERROR(__xludf.DUMMYFUNCTION("IMPORTRANGE(""https://docs.google.com/spreadsheets/d/1eHaY18a8A9IcSdp1K8H6x8fbOy06t2VsZHhMHf-1x7Y/edit?usp=sharing"",""แผน!AM62"")"),0)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IFERROR(__xludf.DUMMYFUNCTION("IMPORTRANGE(""https://docs.google.com/spreadsheets/d/1eHaY18a8A9IcSdp1K8H6x8fbOy06t2VsZHhMHf-1x7Y/edit?usp=sharing"",""แผน!AN62"")"),0)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IFERROR(__xludf.DUMMYFUNCTION("IMPORTRANGE(""https://docs.google.com/spreadsheets/d/1eHaY18a8A9IcSdp1K8H6x8fbOy06t2VsZHhMHf-1x7Y/edit?usp=sharing"",""แผน!AO62"")"),0)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IFERROR(__xludf.DUMMYFUNCTION("IMPORTRANGE(""https://docs.google.com/spreadsheets/d/1eHaY18a8A9IcSdp1K8H6x8fbOy06t2VsZHhMHf-1x7Y/edit?usp=sharing"",""แผน!AP62"")"),0)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IFERROR(__xludf.DUMMYFUNCTION("IMPORTRANGE(""https://docs.google.com/spreadsheets/d/1eHaY18a8A9IcSdp1K8H6x8fbOy06t2VsZHhMHf-1x7Y/edit?usp=sharing"",""แผน!AP62"")"),0)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IFERROR(__xludf.DUMMYFUNCTION("IMPORTRANGE(""https://docs.google.com/spreadsheets/d/1eHaY18a8A9IcSdp1K8H6x8fbOy06t2VsZHhMHf-1x7Y/edit?usp=sharing"",""แผน!AR62"")"),3000)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IFERROR(__xludf.DUMMYFUNCTION("IMPORTRANGE(""https://docs.google.com/spreadsheets/d/1eHaY18a8A9IcSdp1K8H6x8fbOy06t2VsZHhMHf-1x7Y/edit?usp=sharing"",""แผน!AS62"")"),1500)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IFERROR(__xludf.DUMMYFUNCTION("IMPORTRANGE(""https://docs.google.com/spreadsheets/d/1eHaY18a8A9IcSdp1K8H6x8fbOy06t2VsZHhMHf-1x7Y/edit?usp=sharing"",""แผน!AT62"")"),0)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IFERROR(__xludf.DUMMYFUNCTION("IMPORTRANGE(""https://docs.google.com/spreadsheets/d/1eHaY18a8A9IcSdp1K8H6x8fbOy06t2VsZHhMHf-1x7Y/edit?usp=sharing"",""แผน!AV62"")"),20000)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IFERROR(__xludf.DUMMYFUNCTION("IMPORTRANGE(""https://docs.google.com/spreadsheets/d/1eHaY18a8A9IcSdp1K8H6x8fbOy06t2VsZHhMHf-1x7Y/edit?usp=sharing"",""แผน!AV62"")"),20000)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IFERROR(__xludf.DUMMYFUNCTION("IMPORTRANGE(""https://docs.google.com/spreadsheets/d/1eHaY18a8A9IcSdp1K8H6x8fbOy06t2VsZHhMHf-1x7Y/edit?usp=sharing"",""แผน!AU62"")"),0)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1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1"/>
      <c r="C232" s="711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1"/>
      <c r="D233" s="729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29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29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708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05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708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05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05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15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1"/>
      <c r="C243" s="58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1"/>
      <c r="D244" s="603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IFERROR(__xludf.DUMMYFUNCTION("IMPORTRANGE(""https://docs.google.com/spreadsheets/d/1eHaY18a8A9IcSdp1K8H6x8fbOy06t2VsZHhMHf-1x7Y/edit?usp=sharing"",""แผน!AX62"")"),0)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03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IFERROR(__xludf.DUMMYFUNCTION("IMPORTRANGE(""https://docs.google.com/spreadsheets/d/1eHaY18a8A9IcSdp1K8H6x8fbOy06t2VsZHhMHf-1x7Y/edit?usp=sharing"",""แผน!AY62"")"),0)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03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IFERROR(__xludf.DUMMYFUNCTION("IMPORTRANGE(""https://docs.google.com/spreadsheets/d/1eHaY18a8A9IcSdp1K8H6x8fbOy06t2VsZHhMHf-1x7Y/edit?usp=sharing"",""แผน!AZ62"")"),0)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IFERROR(__xludf.DUMMYFUNCTION("IMPORTRANGE(""https://docs.google.com/spreadsheets/d/1eHaY18a8A9IcSdp1K8H6x8fbOy06t2VsZHhMHf-1x7Y/edit?usp=sharing"",""แผน!BA62"")"),0)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708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19" t="s">
        <v>33</v>
      </c>
      <c r="I249" s="201">
        <f ca="1">IFERROR(__xludf.DUMMYFUNCTION("IMPORTRANGE(""https://docs.google.com/spreadsheets/d/1eHaY18a8A9IcSdp1K8H6x8fbOy06t2VsZHhMHf-1x7Y/edit?usp=sharing"",""แผน!BG62"")"),0)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708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19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19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603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IFERROR(__xludf.DUMMYFUNCTION("IMPORTRANGE(""https://docs.google.com/spreadsheets/d/1eHaY18a8A9IcSdp1K8H6x8fbOy06t2VsZHhMHf-1x7Y/edit?usp=sharing"",""แผน!BB62"")"),0)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03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IFERROR(__xludf.DUMMYFUNCTION("IMPORTRANGE(""https://docs.google.com/spreadsheets/d/1eHaY18a8A9IcSdp1K8H6x8fbOy06t2VsZHhMHf-1x7Y/edit?usp=sharing"",""แผน!BC62"")"),0)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03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IFERROR(__xludf.DUMMYFUNCTION("IMPORTRANGE(""https://docs.google.com/spreadsheets/d/1eHaY18a8A9IcSdp1K8H6x8fbOy06t2VsZHhMHf-1x7Y/edit?usp=sharing"",""แผน!BD62"")"),0)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IFERROR(__xludf.DUMMYFUNCTION("IMPORTRANGE(""https://docs.google.com/spreadsheets/d/1eHaY18a8A9IcSdp1K8H6x8fbOy06t2VsZHhMHf-1x7Y/edit?usp=sharing"",""แผน!BE62"")"),0)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IFERROR(__xludf.DUMMYFUNCTION("IMPORTRANGE(""https://docs.google.com/spreadsheets/d/1eHaY18a8A9IcSdp1K8H6x8fbOy06t2VsZHhMHf-1x7Y/edit?usp=sharing"",""แผน!BH62"")"),0)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IFERROR(__xludf.DUMMYFUNCTION("IMPORTRANGE(""https://docs.google.com/spreadsheets/d/1-uDff_7J0KD5mKrp0Vvzr7lt3OU09vwQwhkpOPPYv2Y/edit?usp=sharing"",""งบพรบ!DE62"")"),0)</f>
        <v>0</v>
      </c>
      <c r="M271" s="502">
        <f ca="1">IFERROR(__xludf.DUMMYFUNCTION("IMPORTRANGE(""https://docs.google.com/spreadsheets/d/1-uDff_7J0KD5mKrp0Vvzr7lt3OU09vwQwhkpOPPYv2Y/edit?usp=sharing"",""งบพรบ!DJ62"")"),0)</f>
        <v>0</v>
      </c>
      <c r="N271" s="502">
        <f ca="1">IFERROR(__xludf.DUMMYFUNCTION("IMPORTRANGE(""https://docs.google.com/spreadsheets/d/1-uDff_7J0KD5mKrp0Vvzr7lt3OU09vwQwhkpOPPYv2Y/edit?usp=sharing"",""งบพรบ!DL62"")"),0)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IFERROR(__xludf.DUMMYFUNCTION("IMPORTRANGE(""https://docs.google.com/spreadsheets/d/1-uDff_7J0KD5mKrp0Vvzr7lt3OU09vwQwhkpOPPYv2Y/edit?usp=sharing"",""งบพรบ!DH62"")"),0)</f>
        <v>0</v>
      </c>
      <c r="M274" s="502">
        <f ca="1">IFERROR(__xludf.DUMMYFUNCTION("IMPORTRANGE(""https://docs.google.com/spreadsheets/d/1-uDff_7J0KD5mKrp0Vvzr7lt3OU09vwQwhkpOPPYv2Y/edit?usp=sharing"",""งบพรบ!DK62"")"),0)</f>
        <v>0</v>
      </c>
      <c r="N274" s="502">
        <f ca="1">IFERROR(__xludf.DUMMYFUNCTION("IMPORTRANGE(""https://docs.google.com/spreadsheets/d/1-uDff_7J0KD5mKrp0Vvzr7lt3OU09vwQwhkpOPPYv2Y/edit?usp=sharing"",""งบพรบ!DM62"")"),0)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IFERROR(__xludf.DUMMYFUNCTION("IMPORTRANGE(""https://docs.google.com/spreadsheets/d/1-uDff_7J0KD5mKrp0Vvzr7lt3OU09vwQwhkpOPPYv2Y/edit?usp=sharing"",""งบพรบ!DO62"")"),0)</f>
        <v>0</v>
      </c>
      <c r="M287" s="427">
        <f ca="1">IFERROR(__xludf.DUMMYFUNCTION("IMPORTRANGE(""https://docs.google.com/spreadsheets/d/1-uDff_7J0KD5mKrp0Vvzr7lt3OU09vwQwhkpOPPYv2Y/edit?usp=sharing"",""งบพรบ!DT62"")"),0)</f>
        <v>0</v>
      </c>
      <c r="N287" s="427">
        <f ca="1">IFERROR(__xludf.DUMMYFUNCTION("IMPORTRANGE(""https://docs.google.com/spreadsheets/d/1-uDff_7J0KD5mKrp0Vvzr7lt3OU09vwQwhkpOPPYv2Y/edit?usp=sharing"",""งบพรบ!DV62"")"),0)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IFERROR(__xludf.DUMMYFUNCTION("IMPORTRANGE(""https://docs.google.com/spreadsheets/d/1-uDff_7J0KD5mKrp0Vvzr7lt3OU09vwQwhkpOPPYv2Y/edit?usp=sharing"",""งบพรบ!DR62"")"),0)</f>
        <v>0</v>
      </c>
      <c r="M290" s="427">
        <f ca="1">IFERROR(__xludf.DUMMYFUNCTION("IMPORTRANGE(""https://docs.google.com/spreadsheets/d/1-uDff_7J0KD5mKrp0Vvzr7lt3OU09vwQwhkpOPPYv2Y/edit?usp=sharing"",""งบพรบ!DU62"")"),0)</f>
        <v>0</v>
      </c>
      <c r="N290" s="427">
        <f ca="1">IFERROR(__xludf.DUMMYFUNCTION("IMPORTRANGE(""https://docs.google.com/spreadsheets/d/1-uDff_7J0KD5mKrp0Vvzr7lt3OU09vwQwhkpOPPYv2Y/edit?usp=sharing"",""งบพรบ!DW62"")"),0)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IFERROR(__xludf.DUMMYFUNCTION("IMPORTRANGE(""https://docs.google.com/spreadsheets/d/1eHaY18a8A9IcSdp1K8H6x8fbOy06t2VsZHhMHf-1x7Y/edit?usp=sharing"",""แผน!EE62"")"),0)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IFERROR(__xludf.DUMMYFUNCTION("IMPORTRANGE(""https://docs.google.com/spreadsheets/d/1eHaY18a8A9IcSdp1K8H6x8fbOy06t2VsZHhMHf-1x7Y/edit?usp=sharing"",""แผน!ED62"")"),0)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IFERROR(__xludf.DUMMYFUNCTION("IMPORTRANGE(""https://docs.google.com/spreadsheets/d/1eHaY18a8A9IcSdp1K8H6x8fbOy06t2VsZHhMHf-1x7Y/edit?usp=sharing"",""แผน!ED62"")"),0)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IFERROR(__xludf.DUMMYFUNCTION("IMPORTRANGE(""https://docs.google.com/spreadsheets/d/1eHaY18a8A9IcSdp1K8H6x8fbOy06t2VsZHhMHf-1x7Y/edit?usp=sharing"",""แผน!ED62"")"),0)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IFERROR(__xludf.DUMMYFUNCTION("IMPORTRANGE(""https://docs.google.com/spreadsheets/d/1-uDff_7J0KD5mKrp0Vvzr7lt3OU09vwQwhkpOPPYv2Y/edit?usp=sharing"",""งบพรบ!DY62"")"),0)</f>
        <v>0</v>
      </c>
      <c r="M308" s="427">
        <f ca="1">IFERROR(__xludf.DUMMYFUNCTION("IMPORTRANGE(""https://docs.google.com/spreadsheets/d/1-uDff_7J0KD5mKrp0Vvzr7lt3OU09vwQwhkpOPPYv2Y/edit?usp=sharing"",""งบพรบ!ED62"")"),0)</f>
        <v>0</v>
      </c>
      <c r="N308" s="427">
        <f ca="1">IFERROR(__xludf.DUMMYFUNCTION("IMPORTRANGE(""https://docs.google.com/spreadsheets/d/1-uDff_7J0KD5mKrp0Vvzr7lt3OU09vwQwhkpOPPYv2Y/edit?usp=sharing"",""งบพรบ!EF62"")"),0)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IFERROR(__xludf.DUMMYFUNCTION("IMPORTRANGE(""https://docs.google.com/spreadsheets/d/1-uDff_7J0KD5mKrp0Vvzr7lt3OU09vwQwhkpOPPYv2Y/edit?usp=sharing"",""งบพรบ!EB62"")"),0)</f>
        <v>0</v>
      </c>
      <c r="M311" s="427">
        <f ca="1">IFERROR(__xludf.DUMMYFUNCTION("IMPORTRANGE(""https://docs.google.com/spreadsheets/d/1-uDff_7J0KD5mKrp0Vvzr7lt3OU09vwQwhkpOPPYv2Y/edit?usp=sharing"",""งบพรบ!EE62"")"),0)</f>
        <v>0</v>
      </c>
      <c r="N311" s="427">
        <f ca="1">IFERROR(__xludf.DUMMYFUNCTION("IMPORTRANGE(""https://docs.google.com/spreadsheets/d/1-uDff_7J0KD5mKrp0Vvzr7lt3OU09vwQwhkpOPPYv2Y/edit?usp=sharing"",""งบพรบ!EG62"")"),0)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IFERROR(__xludf.DUMMYFUNCTION("IMPORTRANGE(""https://docs.google.com/spreadsheets/d/1eHaY18a8A9IcSdp1K8H6x8fbOy06t2VsZHhMHf-1x7Y/edit?usp=sharing"",""แผน!EF62"")"),0)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IFERROR(__xludf.DUMMYFUNCTION("IMPORTRANGE(""https://docs.google.com/spreadsheets/d/1eHaY18a8A9IcSdp1K8H6x8fbOy06t2VsZHhMHf-1x7Y/edit?usp=sharing"",""แผน!EG62"")"),0)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IFERROR(__xludf.DUMMYFUNCTION("IMPORTRANGE(""https://docs.google.com/spreadsheets/d/1eHaY18a8A9IcSdp1K8H6x8fbOy06t2VsZHhMHf-1x7Y/edit?usp=sharing"",""แผน!EH62"")"),0)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IFERROR(__xludf.DUMMYFUNCTION("IMPORTRANGE(""https://docs.google.com/spreadsheets/d/1eHaY18a8A9IcSdp1K8H6x8fbOy06t2VsZHhMHf-1x7Y/edit?usp=sharing"",""แผน!EI62"")"),0)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IFERROR(__xludf.DUMMYFUNCTION("IMPORTRANGE(""https://docs.google.com/spreadsheets/d/1-uDff_7J0KD5mKrp0Vvzr7lt3OU09vwQwhkpOPPYv2Y/edit?usp=sharing"",""งบพรบ!EI62"")"),0)</f>
        <v>0</v>
      </c>
      <c r="M325" s="427">
        <f ca="1">IFERROR(__xludf.DUMMYFUNCTION("IMPORTRANGE(""https://docs.google.com/spreadsheets/d/1-uDff_7J0KD5mKrp0Vvzr7lt3OU09vwQwhkpOPPYv2Y/edit?usp=sharing"",""งบพรบ!EN62"")"),0)</f>
        <v>0</v>
      </c>
      <c r="N325" s="427">
        <f ca="1">IFERROR(__xludf.DUMMYFUNCTION("IMPORTRANGE(""https://docs.google.com/spreadsheets/d/1-uDff_7J0KD5mKrp0Vvzr7lt3OU09vwQwhkpOPPYv2Y/edit?usp=sharing"",""งบพรบ!EP62"")"),0)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IFERROR(__xludf.DUMMYFUNCTION("IMPORTRANGE(""https://docs.google.com/spreadsheets/d/1-uDff_7J0KD5mKrp0Vvzr7lt3OU09vwQwhkpOPPYv2Y/edit?usp=sharing"",""งบพรบ!EL62"")"),0)</f>
        <v>0</v>
      </c>
      <c r="M328" s="427">
        <f ca="1">IFERROR(__xludf.DUMMYFUNCTION("IMPORTRANGE(""https://docs.google.com/spreadsheets/d/1-uDff_7J0KD5mKrp0Vvzr7lt3OU09vwQwhkpOPPYv2Y/edit?usp=sharing"",""งบพรบ!EO62"")"),0)</f>
        <v>0</v>
      </c>
      <c r="N328" s="427">
        <f ca="1">IFERROR(__xludf.DUMMYFUNCTION("IMPORTRANGE(""https://docs.google.com/spreadsheets/d/1-uDff_7J0KD5mKrp0Vvzr7lt3OU09vwQwhkpOPPYv2Y/edit?usp=sharing"",""งบพรบ!EQ62"")"),0)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IFERROR(__xludf.DUMMYFUNCTION("IMPORTRANGE(""https://docs.google.com/spreadsheets/d/1eHaY18a8A9IcSdp1K8H6x8fbOy06t2VsZHhMHf-1x7Y/edit?usp=sharing"",""แผน!EJ62"")"),0)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540</v>
      </c>
      <c r="J332" s="404">
        <f ca="1">J344+J347+J348+J349+J353</f>
        <v>792</v>
      </c>
      <c r="K332" s="405">
        <f ca="1">IF(I332&gt;0,J332*100/I332,0)</f>
        <v>146.66666666666666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218600</v>
      </c>
      <c r="M333" s="715">
        <f ca="1">M334+M335</f>
        <v>163350</v>
      </c>
      <c r="N333" s="715">
        <f ca="1">N334+N335</f>
        <v>68398.55</v>
      </c>
      <c r="O333" s="715">
        <f t="shared" ref="O333:O341" ca="1" si="45">IF(L333&gt;0,N333*100/L333,0)</f>
        <v>31.289364135407137</v>
      </c>
      <c r="P333" s="715">
        <f t="shared" ref="P333:P341" ca="1" si="46">IF(M333&gt;0,N333*100/M333,0)</f>
        <v>41.872390572390572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218600</v>
      </c>
      <c r="M335" s="427">
        <f t="shared" ca="1" si="47"/>
        <v>163350</v>
      </c>
      <c r="N335" s="427">
        <f t="shared" ca="1" si="47"/>
        <v>68398.55</v>
      </c>
      <c r="O335" s="427">
        <f t="shared" ca="1" si="45"/>
        <v>31.289364135407137</v>
      </c>
      <c r="P335" s="427">
        <f t="shared" ca="1" si="46"/>
        <v>41.872390572390572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218600</v>
      </c>
      <c r="M336" s="427">
        <f ca="1">M337+M338</f>
        <v>163350</v>
      </c>
      <c r="N336" s="427">
        <f ca="1">N337+N338</f>
        <v>68398.55</v>
      </c>
      <c r="O336" s="427">
        <f t="shared" ca="1" si="45"/>
        <v>31.289364135407137</v>
      </c>
      <c r="P336" s="427">
        <f t="shared" ca="1" si="46"/>
        <v>41.872390572390572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IFERROR(__xludf.DUMMYFUNCTION("IMPORTRANGE(""https://docs.google.com/spreadsheets/d/1-uDff_7J0KD5mKrp0Vvzr7lt3OU09vwQwhkpOPPYv2Y/edit?usp=sharing"",""งบพรบ!ES62"")"),218600)</f>
        <v>218600</v>
      </c>
      <c r="M338" s="427">
        <f ca="1">IFERROR(__xludf.DUMMYFUNCTION("IMPORTRANGE(""https://docs.google.com/spreadsheets/d/1-uDff_7J0KD5mKrp0Vvzr7lt3OU09vwQwhkpOPPYv2Y/edit?usp=sharing"",""งบพรบ!EX62"")"),163350)</f>
        <v>163350</v>
      </c>
      <c r="N338" s="427">
        <f ca="1">IFERROR(__xludf.DUMMYFUNCTION("IMPORTRANGE(""https://docs.google.com/spreadsheets/d/1-uDff_7J0KD5mKrp0Vvzr7lt3OU09vwQwhkpOPPYv2Y/edit?usp=sharing"",""งบพรบ!EZ62"")"),68398.55)</f>
        <v>68398.55</v>
      </c>
      <c r="O338" s="427">
        <f t="shared" ca="1" si="45"/>
        <v>31.289364135407137</v>
      </c>
      <c r="P338" s="427">
        <f t="shared" ca="1" si="46"/>
        <v>41.872390572390572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IFERROR(__xludf.DUMMYFUNCTION("IMPORTRANGE(""https://docs.google.com/spreadsheets/d/1-uDff_7J0KD5mKrp0Vvzr7lt3OU09vwQwhkpOPPYv2Y/edit?usp=sharing"",""งบพรบ!EV62"")"),0)</f>
        <v>0</v>
      </c>
      <c r="M341" s="427">
        <f ca="1">IFERROR(__xludf.DUMMYFUNCTION("IMPORTRANGE(""https://docs.google.com/spreadsheets/d/1-uDff_7J0KD5mKrp0Vvzr7lt3OU09vwQwhkpOPPYv2Y/edit?usp=sharing"",""งบพรบ!EY62"")"),0)</f>
        <v>0</v>
      </c>
      <c r="N341" s="427">
        <f ca="1">IFERROR(__xludf.DUMMYFUNCTION("IMPORTRANGE(""https://docs.google.com/spreadsheets/d/1-uDff_7J0KD5mKrp0Vvzr7lt3OU09vwQwhkpOPPYv2Y/edit?usp=sharing"",""งบพรบ!FA62"")"),0)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136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IFERROR(__xludf.DUMMYFUNCTION("IMPORTRANGE(""https://docs.google.com/spreadsheets/d/1eHaY18a8A9IcSdp1K8H6x8fbOy06t2VsZHhMHf-1x7Y/edit?usp=sharing"",""แผน!EK62"")"),540)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IFERROR(__xludf.DUMMYFUNCTION("IMPORTRANGE(""https://docs.google.com/spreadsheets/d/1awYsYK3VOup2i3Pq_Yjnu8DRu_mYwSBnCR2QPthd0rU/edit?usp=sharing"",""ศูนย์ยกเว้นโฉนด!D62"")"),133)</f>
        <v>133</v>
      </c>
      <c r="K344" s="427">
        <f ca="1">IF(I344&gt;0,J344*100/I344,0)</f>
        <v>24.62962962962963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IFERROR(__xludf.DUMMYFUNCTION("IMPORTRANGE(""https://docs.google.com/spreadsheets/d/1eHaY18a8A9IcSdp1K8H6x8fbOy06t2VsZHhMHf-1x7Y/edit?usp=sharing"",""แผน!EL62"")"),2)</f>
        <v>2</v>
      </c>
      <c r="J346" s="426">
        <f ca="1">IFERROR(__xludf.DUMMYFUNCTION("IMPORTRANGE(""https://docs.google.com/spreadsheets/d/1awYsYK3VOup2i3Pq_Yjnu8DRu_mYwSBnCR2QPthd0rU/edit?usp=sharing"",""ศูนย์รวม!E62"")"),0)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2085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IFERROR(__xludf.DUMMYFUNCTION("IMPORTRANGE(""https://docs.google.com/spreadsheets/d/1awYsYK3VOup2i3Pq_Yjnu8DRu_mYwSBnCR2QPthd0rU/edit?usp=sharing"",""โฉนดM3!G62"")"),1429)</f>
        <v>1429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IFERROR(__xludf.DUMMYFUNCTION("IMPORTRANGE(""https://docs.google.com/spreadsheets/d/1awYsYK3VOup2i3Pq_Yjnu8DRu_mYwSBnCR2QPthd0rU/edit?usp=sharing"",""โฉนดM3!H62"")"),656)</f>
        <v>656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266990</v>
      </c>
      <c r="M356" s="715">
        <f ca="1">M357+M358</f>
        <v>214990</v>
      </c>
      <c r="N356" s="715">
        <f ca="1">N357+N358</f>
        <v>51133.34</v>
      </c>
      <c r="O356" s="715">
        <f t="shared" ref="O356:O364" ca="1" si="48">IF(L356&gt;0,N356*100/L356,0)</f>
        <v>19.151780965579235</v>
      </c>
      <c r="P356" s="715">
        <f t="shared" ref="P356:P364" ca="1" si="49">IF(M356&gt;0,N356*100/M356,0)</f>
        <v>23.784055072328947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266990</v>
      </c>
      <c r="M358" s="427">
        <f t="shared" ca="1" si="50"/>
        <v>214990</v>
      </c>
      <c r="N358" s="427">
        <f t="shared" ca="1" si="50"/>
        <v>51133.34</v>
      </c>
      <c r="O358" s="427">
        <f t="shared" ca="1" si="48"/>
        <v>19.151780965579235</v>
      </c>
      <c r="P358" s="427">
        <f t="shared" ca="1" si="49"/>
        <v>23.784055072328947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266990</v>
      </c>
      <c r="M359" s="427">
        <f ca="1">M360+M361</f>
        <v>214990</v>
      </c>
      <c r="N359" s="427">
        <f ca="1">N360+N361</f>
        <v>51133.34</v>
      </c>
      <c r="O359" s="427">
        <f t="shared" ca="1" si="48"/>
        <v>19.151780965579235</v>
      </c>
      <c r="P359" s="427">
        <f t="shared" ca="1" si="49"/>
        <v>23.784055072328947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IFERROR(__xludf.DUMMYFUNCTION("IMPORTRANGE(""https://docs.google.com/spreadsheets/d/1-uDff_7J0KD5mKrp0Vvzr7lt3OU09vwQwhkpOPPYv2Y/edit?usp=sharing"",""งบพรบ!FC62"")"),266990)</f>
        <v>266990</v>
      </c>
      <c r="M361" s="427">
        <f ca="1">IFERROR(__xludf.DUMMYFUNCTION("IMPORTRANGE(""https://docs.google.com/spreadsheets/d/1-uDff_7J0KD5mKrp0Vvzr7lt3OU09vwQwhkpOPPYv2Y/edit?usp=sharing"",""งบพรบ!FH62"")"),214990)</f>
        <v>214990</v>
      </c>
      <c r="N361" s="427">
        <f ca="1">IFERROR(__xludf.DUMMYFUNCTION("IMPORTRANGE(""https://docs.google.com/spreadsheets/d/1-uDff_7J0KD5mKrp0Vvzr7lt3OU09vwQwhkpOPPYv2Y/edit?usp=sharing"",""งบพรบ!FJ62"")"),51133.34)</f>
        <v>51133.34</v>
      </c>
      <c r="O361" s="427">
        <f t="shared" ca="1" si="48"/>
        <v>19.151780965579235</v>
      </c>
      <c r="P361" s="427">
        <f t="shared" ca="1" si="49"/>
        <v>23.784055072328947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IFERROR(__xludf.DUMMYFUNCTION("IMPORTRANGE(""https://docs.google.com/spreadsheets/d/1-uDff_7J0KD5mKrp0Vvzr7lt3OU09vwQwhkpOPPYv2Y/edit?usp=sharing"",""งบพรบ!FF62"")"),0)</f>
        <v>0</v>
      </c>
      <c r="M364" s="427">
        <f ca="1">IFERROR(__xludf.DUMMYFUNCTION("IMPORTRANGE(""https://docs.google.com/spreadsheets/d/1-uDff_7J0KD5mKrp0Vvzr7lt3OU09vwQwhkpOPPYv2Y/edit?usp=sharing"",""งบพรบ!FI62"")"),0)</f>
        <v>0</v>
      </c>
      <c r="N364" s="427">
        <f ca="1">IFERROR(__xludf.DUMMYFUNCTION("IMPORTRANGE(""https://docs.google.com/spreadsheets/d/1-uDff_7J0KD5mKrp0Vvzr7lt3OU09vwQwhkpOPPYv2Y/edit?usp=sharing"",""งบพรบ!FK62"")"),0)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65</v>
      </c>
      <c r="J365" s="440">
        <f ca="1">J371</f>
        <v>56</v>
      </c>
      <c r="K365" s="441">
        <f ca="1">IF(I365&gt;0,J365*100/I365,0)</f>
        <v>86.15384615384616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IFERROR(__xludf.DUMMYFUNCTION("IMPORTRANGE(""https://docs.google.com/spreadsheets/d/1tdoBKaGub7dwA3U6UFTqxio9LNnvDCQjHKmttSEBsFQ/edit?usp=sharing"",""จัดที่ดิน!AB62"")"),6)</f>
        <v>6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IFERROR(__xludf.DUMMYFUNCTION("IMPORTRANGE(""https://docs.google.com/spreadsheets/d/1eHaY18a8A9IcSdp1K8H6x8fbOy06t2VsZHhMHf-1x7Y/edit?usp=sharing"",""แผน!EW62"")"),565)</f>
        <v>565</v>
      </c>
      <c r="J368" s="704">
        <f ca="1">IFERROR(__xludf.DUMMYFUNCTION("IMPORTRANGE(""https://docs.google.com/spreadsheets/d/1tdoBKaGub7dwA3U6UFTqxio9LNnvDCQjHKmttSEBsFQ/edit?usp=sharing"",""จัดที่ดิน!AC62"")"),39.23)</f>
        <v>39.229999999999997</v>
      </c>
      <c r="K368" s="427">
        <f t="shared" ca="1" si="51"/>
        <v>6.9433628318584066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IFERROR(__xludf.DUMMYFUNCTION("IMPORTRANGE(""https://docs.google.com/spreadsheets/d/1eHaY18a8A9IcSdp1K8H6x8fbOy06t2VsZHhMHf-1x7Y/edit?usp=sharing"",""แผน!EX62"")"),88)</f>
        <v>88</v>
      </c>
      <c r="J369" s="426">
        <f ca="1">IFERROR(__xludf.DUMMYFUNCTION("IMPORTRANGE(""https://docs.google.com/spreadsheets/d/1tdoBKaGub7dwA3U6UFTqxio9LNnvDCQjHKmttSEBsFQ/edit?usp=sharing"",""จัดที่ดิน!AD62"")"),55)</f>
        <v>55</v>
      </c>
      <c r="K369" s="427">
        <f t="shared" ca="1" si="51"/>
        <v>62.5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IFERROR(__xludf.DUMMYFUNCTION("IMPORTRANGE(""https://docs.google.com/spreadsheets/d/1tdoBKaGub7dwA3U6UFTqxio9LNnvDCQjHKmttSEBsFQ/edit?usp=sharing"",""จัดที่ดิน!AE62"")"),679.98)</f>
        <v>679.98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IFERROR(__xludf.DUMMYFUNCTION("IMPORTRANGE(""https://docs.google.com/spreadsheets/d/1eHaY18a8A9IcSdp1K8H6x8fbOy06t2VsZHhMHf-1x7Y/edit?usp=sharing"",""แผน!EY62"")"),65)</f>
        <v>65</v>
      </c>
      <c r="J371" s="426">
        <f ca="1">IFERROR(__xludf.DUMMYFUNCTION("IMPORTRANGE(""https://docs.google.com/spreadsheets/d/1tdoBKaGub7dwA3U6UFTqxio9LNnvDCQjHKmttSEBsFQ/edit?usp=sharing"",""จัดที่ดิน!AF62"")"),56)</f>
        <v>56</v>
      </c>
      <c r="K371" s="427">
        <f t="shared" ca="1" si="51"/>
        <v>86.15384615384616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IFERROR(__xludf.DUMMYFUNCTION("IMPORTRANGE(""https://docs.google.com/spreadsheets/d/1tdoBKaGub7dwA3U6UFTqxio9LNnvDCQjHKmttSEBsFQ/edit?usp=sharing"",""จัดที่ดิน!AG62"")"),728.94)</f>
        <v>728.94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IFERROR(__xludf.DUMMYFUNCTION("IMPORTRANGE(""https://docs.google.com/spreadsheets/d/1-uDff_7J0KD5mKrp0Vvzr7lt3OU09vwQwhkpOPPYv2Y/edit?usp=sharing"",""งบพรบ!FM62"")"),0)</f>
        <v>0</v>
      </c>
      <c r="M382" s="502">
        <f ca="1">IFERROR(__xludf.DUMMYFUNCTION("IMPORTRANGE(""https://docs.google.com/spreadsheets/d/1-uDff_7J0KD5mKrp0Vvzr7lt3OU09vwQwhkpOPPYv2Y/edit?usp=sharing"",""งบพรบ!FR62"")"),0)</f>
        <v>0</v>
      </c>
      <c r="N382" s="502">
        <f ca="1">IFERROR(__xludf.DUMMYFUNCTION("IMPORTRANGE(""https://docs.google.com/spreadsheets/d/1-uDff_7J0KD5mKrp0Vvzr7lt3OU09vwQwhkpOPPYv2Y/edit?usp=sharing"",""งบพรบ!FT62"")"),0)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IFERROR(__xludf.DUMMYFUNCTION("IMPORTRANGE(""https://docs.google.com/spreadsheets/d/1-uDff_7J0KD5mKrp0Vvzr7lt3OU09vwQwhkpOPPYv2Y/edit?usp=sharing"",""งบพรบ!FP62"")"),0)</f>
        <v>0</v>
      </c>
      <c r="M385" s="502">
        <f ca="1">IFERROR(__xludf.DUMMYFUNCTION("IMPORTRANGE(""https://docs.google.com/spreadsheets/d/1-uDff_7J0KD5mKrp0Vvzr7lt3OU09vwQwhkpOPPYv2Y/edit?usp=sharing"",""งบพรบ!FS62"")"),0)</f>
        <v>0</v>
      </c>
      <c r="N385" s="502">
        <f ca="1">IFERROR(__xludf.DUMMYFUNCTION("IMPORTRANGE(""https://docs.google.com/spreadsheets/d/1-uDff_7J0KD5mKrp0Vvzr7lt3OU09vwQwhkpOPPYv2Y/edit?usp=sharing"",""งบพรบ!FU62"")"),0)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3" orientation="portrait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58483-BC91-4988-BAA1-7C215E939B75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263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1602665</v>
      </c>
      <c r="M18" s="843">
        <f ca="1">M19+M20</f>
        <v>1316165</v>
      </c>
      <c r="N18" s="843">
        <f ca="1">N19+N20</f>
        <v>505829.62</v>
      </c>
      <c r="O18" s="843">
        <f t="shared" ref="O18:O26" ca="1" si="0">IF(L18&gt;0,N18*100/L18,0)</f>
        <v>31.561781158258277</v>
      </c>
      <c r="P18" s="843">
        <f t="shared" ref="P18:P26" ca="1" si="1">IF(M18&gt;0,N18*100/M18,0)</f>
        <v>38.432082603624927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1602665</v>
      </c>
      <c r="M20" s="947">
        <f t="shared" ca="1" si="2"/>
        <v>1316165</v>
      </c>
      <c r="N20" s="947">
        <f t="shared" ca="1" si="2"/>
        <v>505829.62</v>
      </c>
      <c r="O20" s="947">
        <f t="shared" ca="1" si="0"/>
        <v>31.561781158258277</v>
      </c>
      <c r="P20" s="947">
        <f t="shared" ca="1" si="1"/>
        <v>38.432082603624927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1602665</v>
      </c>
      <c r="M21" s="427">
        <f ca="1">M22+M23</f>
        <v>1316165</v>
      </c>
      <c r="N21" s="427">
        <f ca="1">N22+N23</f>
        <v>505829.62</v>
      </c>
      <c r="O21" s="427">
        <f t="shared" ca="1" si="0"/>
        <v>31.561781158258277</v>
      </c>
      <c r="P21" s="427">
        <f t="shared" ca="1" si="1"/>
        <v>38.432082603624927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1602665</v>
      </c>
      <c r="M23" s="427">
        <f t="shared" ca="1" si="3"/>
        <v>1316165</v>
      </c>
      <c r="N23" s="427">
        <f t="shared" ca="1" si="3"/>
        <v>505829.62</v>
      </c>
      <c r="O23" s="427">
        <f t="shared" ca="1" si="0"/>
        <v>31.561781158258277</v>
      </c>
      <c r="P23" s="427">
        <f t="shared" ca="1" si="1"/>
        <v>38.432082603624927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1602665</v>
      </c>
      <c r="M40" s="940">
        <f ca="1">M44+M59+M72+M94+M125+M139+M157+M173+M186+M266+M282+M303+M320+M333+M356</f>
        <v>1316165</v>
      </c>
      <c r="N40" s="940">
        <f ca="1">N44+N59+N72+N94+N125+N139+N157+N173+N186+N266+N282+N303+N320+N333+N356</f>
        <v>505829.62</v>
      </c>
      <c r="O40" s="940">
        <f ca="1">IF(L40&gt;0,N40*100/L40,0)</f>
        <v>31.561781158258277</v>
      </c>
      <c r="P40" s="940">
        <f ca="1">IF(M40&gt;0,N40*100/M40,0)</f>
        <v>38.432082603624927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210650</v>
      </c>
      <c r="M44" s="925">
        <f ca="1">M45+M46</f>
        <v>212900</v>
      </c>
      <c r="N44" s="925">
        <f ca="1">N45+N46</f>
        <v>86250</v>
      </c>
      <c r="O44" s="925">
        <f t="shared" ref="O44:O52" ca="1" si="5">IF(L44&gt;0,N44*100/L44,0)</f>
        <v>40.94469499169238</v>
      </c>
      <c r="P44" s="925">
        <f t="shared" ref="P44:P52" ca="1" si="6">IF(M44&gt;0,N44*100/M44,0)</f>
        <v>40.511977454203851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210650</v>
      </c>
      <c r="M46" s="917">
        <f t="shared" ca="1" si="7"/>
        <v>212900</v>
      </c>
      <c r="N46" s="917">
        <f t="shared" ca="1" si="7"/>
        <v>86250</v>
      </c>
      <c r="O46" s="917">
        <f t="shared" ca="1" si="5"/>
        <v>40.94469499169238</v>
      </c>
      <c r="P46" s="917">
        <f t="shared" ca="1" si="6"/>
        <v>40.511977454203851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210650</v>
      </c>
      <c r="M47" s="427">
        <f ca="1">M48+M49</f>
        <v>212900</v>
      </c>
      <c r="N47" s="427">
        <f ca="1">N48+N49</f>
        <v>86250</v>
      </c>
      <c r="O47" s="427">
        <f t="shared" ca="1" si="5"/>
        <v>40.94469499169238</v>
      </c>
      <c r="P47" s="427">
        <f t="shared" ca="1" si="6"/>
        <v>40.511977454203851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IFERROR(__xludf.DUMMYFUNCTION("IMPORTRANGE(""https://docs.google.com/spreadsheets/d/1-uDff_7J0KD5mKrp0Vvzr7lt3OU09vwQwhkpOPPYv2Y/edit?usp=sharing"",""งบพรบ!P63"")"),210650)</f>
        <v>210650</v>
      </c>
      <c r="M49" s="427">
        <f ca="1">IFERROR(__xludf.DUMMYFUNCTION("IMPORTRANGE(""https://docs.google.com/spreadsheets/d/1-uDff_7J0KD5mKrp0Vvzr7lt3OU09vwQwhkpOPPYv2Y/edit?usp=sharing"",""งบพรบ!V63"")"),212900)</f>
        <v>212900</v>
      </c>
      <c r="N49" s="427">
        <f ca="1">IFERROR(__xludf.DUMMYFUNCTION("IMPORTRANGE(""https://docs.google.com/spreadsheets/d/1-uDff_7J0KD5mKrp0Vvzr7lt3OU09vwQwhkpOPPYv2Y/edit?usp=sharing"",""งบพรบ!Y63"")"),86250)</f>
        <v>86250</v>
      </c>
      <c r="O49" s="427">
        <f t="shared" ca="1" si="5"/>
        <v>40.94469499169238</v>
      </c>
      <c r="P49" s="427">
        <f t="shared" ca="1" si="6"/>
        <v>40.511977454203851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IFERROR(__xludf.DUMMYFUNCTION("IMPORTRANGE(""https://docs.google.com/spreadsheets/d/1-uDff_7J0KD5mKrp0Vvzr7lt3OU09vwQwhkpOPPYv2Y/edit?usp=sharing"",""งบพรบ!S63"")"),0)</f>
        <v>0</v>
      </c>
      <c r="M52" s="427">
        <f ca="1">IFERROR(__xludf.DUMMYFUNCTION("IMPORTRANGE(""https://docs.google.com/spreadsheets/d/1-uDff_7J0KD5mKrp0Vvzr7lt3OU09vwQwhkpOPPYv2Y/edit?usp=sharing"",""งบพรบ!W63"")"),0)</f>
        <v>0</v>
      </c>
      <c r="N52" s="427">
        <f ca="1">IFERROR(__xludf.DUMMYFUNCTION("IMPORTRANGE(""https://docs.google.com/spreadsheets/d/1-uDff_7J0KD5mKrp0Vvzr7lt3OU09vwQwhkpOPPYv2Y/edit?usp=sharing"",""งบพรบ!Z63"")"),0)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230300</v>
      </c>
      <c r="M59" s="899">
        <f ca="1">M60+M61</f>
        <v>174700</v>
      </c>
      <c r="N59" s="899">
        <f ca="1">N60+N61</f>
        <v>83525.62</v>
      </c>
      <c r="O59" s="899">
        <f t="shared" ref="O59:O67" ca="1" si="8">IF(L59&gt;0,N59*100/L59,0)</f>
        <v>36.268180633955708</v>
      </c>
      <c r="P59" s="899">
        <f t="shared" ref="P59:P67" ca="1" si="9">IF(M59&gt;0,N59*100/M59,0)</f>
        <v>47.810887235260445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230300</v>
      </c>
      <c r="M61" s="891">
        <f t="shared" ca="1" si="10"/>
        <v>174700</v>
      </c>
      <c r="N61" s="891">
        <f t="shared" ca="1" si="10"/>
        <v>83525.62</v>
      </c>
      <c r="O61" s="891">
        <f t="shared" ca="1" si="8"/>
        <v>36.268180633955708</v>
      </c>
      <c r="P61" s="891">
        <f t="shared" ca="1" si="9"/>
        <v>47.810887235260445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230300</v>
      </c>
      <c r="M62" s="427">
        <f ca="1">M63+M64</f>
        <v>174700</v>
      </c>
      <c r="N62" s="427">
        <f ca="1">N63+N64</f>
        <v>83525.62</v>
      </c>
      <c r="O62" s="427">
        <f t="shared" ca="1" si="8"/>
        <v>36.268180633955708</v>
      </c>
      <c r="P62" s="427">
        <f t="shared" ca="1" si="9"/>
        <v>47.810887235260445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IFERROR(__xludf.DUMMYFUNCTION("IMPORTRANGE(""https://docs.google.com/spreadsheets/d/1-uDff_7J0KD5mKrp0Vvzr7lt3OU09vwQwhkpOPPYv2Y/edit?usp=sharing"",""งบพรบ!AC63"")"),230300)</f>
        <v>230300</v>
      </c>
      <c r="M64" s="427">
        <f ca="1">IFERROR(__xludf.DUMMYFUNCTION("IMPORTRANGE(""https://docs.google.com/spreadsheets/d/1-uDff_7J0KD5mKrp0Vvzr7lt3OU09vwQwhkpOPPYv2Y/edit?usp=sharing"",""งบพรบ!AH63"")"),174700)</f>
        <v>174700</v>
      </c>
      <c r="N64" s="427">
        <f ca="1">IFERROR(__xludf.DUMMYFUNCTION("IMPORTRANGE(""https://docs.google.com/spreadsheets/d/1-uDff_7J0KD5mKrp0Vvzr7lt3OU09vwQwhkpOPPYv2Y/edit?usp=sharing"",""งบพรบ!AJ63"")"),83525.62)</f>
        <v>83525.62</v>
      </c>
      <c r="O64" s="427">
        <f t="shared" ca="1" si="8"/>
        <v>36.268180633955708</v>
      </c>
      <c r="P64" s="427">
        <f t="shared" ca="1" si="9"/>
        <v>47.810887235260445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IFERROR(__xludf.DUMMYFUNCTION("IMPORTRANGE(""https://docs.google.com/spreadsheets/d/1-uDff_7J0KD5mKrp0Vvzr7lt3OU09vwQwhkpOPPYv2Y/edit?usp=sharing"",""งบพรบ!AF63"")"),0)</f>
        <v>0</v>
      </c>
      <c r="M67" s="624">
        <f ca="1">IFERROR(__xludf.DUMMYFUNCTION("IMPORTRANGE(""https://docs.google.com/spreadsheets/d/1-uDff_7J0KD5mKrp0Vvzr7lt3OU09vwQwhkpOPPYv2Y/edit?usp=sharing"",""งบพรบ!AI63"")"),0)</f>
        <v>0</v>
      </c>
      <c r="N67" s="624">
        <f ca="1">IFERROR(__xludf.DUMMYFUNCTION("IMPORTRANGE(""https://docs.google.com/spreadsheets/d/1-uDff_7J0KD5mKrp0Vvzr7lt3OU09vwQwhkpOPPYv2Y/edit?usp=sharing"",""งบพรบ!AK63"")"),0)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IFERROR(__xludf.DUMMYFUNCTION("IMPORTRANGE(""https://docs.google.com/spreadsheets/d/1-uDff_7J0KD5mKrp0Vvzr7lt3OU09vwQwhkpOPPYv2Y/edit?usp=sharing"",""งบพรบ!AM63"")"),0)</f>
        <v>0</v>
      </c>
      <c r="M77" s="427">
        <f ca="1">IFERROR(__xludf.DUMMYFUNCTION("IMPORTRANGE(""https://docs.google.com/spreadsheets/d/1-uDff_7J0KD5mKrp0Vvzr7lt3OU09vwQwhkpOPPYv2Y/edit?usp=sharing"",""งบพรบ!AR63"")"),0)</f>
        <v>0</v>
      </c>
      <c r="N77" s="427">
        <f ca="1">IFERROR(__xludf.DUMMYFUNCTION("IMPORTRANGE(""https://docs.google.com/spreadsheets/d/1-uDff_7J0KD5mKrp0Vvzr7lt3OU09vwQwhkpOPPYv2Y/edit?usp=sharing"",""งบพรบ!AT63"")"),0)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IFERROR(__xludf.DUMMYFUNCTION("IMPORTRANGE(""https://docs.google.com/spreadsheets/d/1-uDff_7J0KD5mKrp0Vvzr7lt3OU09vwQwhkpOPPYv2Y/edit?usp=sharing"",""งบพรบ!AP63"")"),0)</f>
        <v>0</v>
      </c>
      <c r="M80" s="427">
        <f ca="1">IFERROR(__xludf.DUMMYFUNCTION("IMPORTRANGE(""https://docs.google.com/spreadsheets/d/1-uDff_7J0KD5mKrp0Vvzr7lt3OU09vwQwhkpOPPYv2Y/edit?usp=sharing"",""งบพรบ!AS63"")"),0)</f>
        <v>0</v>
      </c>
      <c r="N80" s="427">
        <f ca="1">IFERROR(__xludf.DUMMYFUNCTION("IMPORTRANGE(""https://docs.google.com/spreadsheets/d/1-uDff_7J0KD5mKrp0Vvzr7lt3OU09vwQwhkpOPPYv2Y/edit?usp=sharing"",""งบพรบ!AU63"")"),0)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IFERROR(__xludf.DUMMYFUNCTION("IMPORTRANGE(""https://docs.google.com/spreadsheets/d/1eHaY18a8A9IcSdp1K8H6x8fbOy06t2VsZHhMHf-1x7Y/edit?usp=sharing"",""แผน!H63"")"),0)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IFERROR(__xludf.DUMMYFUNCTION("IMPORTRANGE(""https://docs.google.com/spreadsheets/d/1eHaY18a8A9IcSdp1K8H6x8fbOy06t2VsZHhMHf-1x7Y/edit?usp=sharing"",""แผน!I63"")"),0)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IFERROR(__xludf.DUMMYFUNCTION("IMPORTRANGE(""https://docs.google.com/spreadsheets/d/1eHaY18a8A9IcSdp1K8H6x8fbOy06t2VsZHhMHf-1x7Y/edit?usp=sharing"",""แผน!F63"")"),0)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IFERROR(__xludf.DUMMYFUNCTION("IMPORTRANGE(""https://docs.google.com/spreadsheets/d/1eHaY18a8A9IcSdp1K8H6x8fbOy06t2VsZHhMHf-1x7Y/edit?usp=sharing"",""แผน!G63"")"),0)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IFERROR(__xludf.DUMMYFUNCTION("IMPORTRANGE(""https://docs.google.com/spreadsheets/d/1eHaY18a8A9IcSdp1K8H6x8fbOy06t2VsZHhMHf-1x7Y/edit?usp=sharing"",""แผน!D63"")"),0)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IFERROR(__xludf.DUMMYFUNCTION("IMPORTRANGE(""https://docs.google.com/spreadsheets/d/1eHaY18a8A9IcSdp1K8H6x8fbOy06t2VsZHhMHf-1x7Y/edit?usp=sharing"",""แผน!E63"")"),0)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IFERROR(__xludf.DUMMYFUNCTION("IMPORTRANGE(""https://docs.google.com/spreadsheets/d/1eHaY18a8A9IcSdp1K8H6x8fbOy06t2VsZHhMHf-1x7Y/edit?usp=sharing"",""แผน!J63"")"),0)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93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31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205600</v>
      </c>
      <c r="M94" s="715">
        <f ca="1">M95+M96</f>
        <v>183900</v>
      </c>
      <c r="N94" s="715">
        <f ca="1">N95+N96</f>
        <v>112954</v>
      </c>
      <c r="O94" s="715">
        <f t="shared" ref="O94:O102" ca="1" si="15">IF(L94&gt;0,N94*100/L94,0)</f>
        <v>54.938715953307394</v>
      </c>
      <c r="P94" s="715">
        <f t="shared" ref="P94:P102" ca="1" si="16">IF(M94&gt;0,N94*100/M94,0)</f>
        <v>61.421424687330074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205600</v>
      </c>
      <c r="M96" s="427">
        <f t="shared" ca="1" si="17"/>
        <v>183900</v>
      </c>
      <c r="N96" s="427">
        <f t="shared" ca="1" si="17"/>
        <v>112954</v>
      </c>
      <c r="O96" s="427">
        <f t="shared" ca="1" si="15"/>
        <v>54.938715953307394</v>
      </c>
      <c r="P96" s="427">
        <f t="shared" ca="1" si="16"/>
        <v>61.421424687330074</v>
      </c>
    </row>
    <row r="97" spans="1:16" ht="18.75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205600</v>
      </c>
      <c r="M97" s="427">
        <f ca="1">M98+M99</f>
        <v>183900</v>
      </c>
      <c r="N97" s="427">
        <f ca="1">N98+N99</f>
        <v>112954</v>
      </c>
      <c r="O97" s="427">
        <f t="shared" ca="1" si="15"/>
        <v>54.938715953307394</v>
      </c>
      <c r="P97" s="427">
        <f t="shared" ca="1" si="16"/>
        <v>61.421424687330074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IFERROR(__xludf.DUMMYFUNCTION("IMPORTRANGE(""https://docs.google.com/spreadsheets/d/1-uDff_7J0KD5mKrp0Vvzr7lt3OU09vwQwhkpOPPYv2Y/edit?usp=sharing"",""งบพรบ!AW63"")"),205600)</f>
        <v>205600</v>
      </c>
      <c r="M99" s="427">
        <f ca="1">IFERROR(__xludf.DUMMYFUNCTION("IMPORTRANGE(""https://docs.google.com/spreadsheets/d/1-uDff_7J0KD5mKrp0Vvzr7lt3OU09vwQwhkpOPPYv2Y/edit?usp=sharing"",""งบพรบ!BB63"")"),183900)</f>
        <v>183900</v>
      </c>
      <c r="N99" s="427">
        <f ca="1">IFERROR(__xludf.DUMMYFUNCTION("IMPORTRANGE(""https://docs.google.com/spreadsheets/d/1-uDff_7J0KD5mKrp0Vvzr7lt3OU09vwQwhkpOPPYv2Y/edit?usp=sharing"",""งบพรบ!BD63"")"),112954)</f>
        <v>112954</v>
      </c>
      <c r="O99" s="427">
        <f t="shared" ca="1" si="15"/>
        <v>54.938715953307394</v>
      </c>
      <c r="P99" s="427">
        <f t="shared" ca="1" si="16"/>
        <v>61.421424687330074</v>
      </c>
    </row>
    <row r="100" spans="1:16" ht="18.75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IFERROR(__xludf.DUMMYFUNCTION("IMPORTRANGE(""https://docs.google.com/spreadsheets/d/1-uDff_7J0KD5mKrp0Vvzr7lt3OU09vwQwhkpOPPYv2Y/edit?usp=sharing"",""งบพรบ!AZ63"")"),0)</f>
        <v>0</v>
      </c>
      <c r="M102" s="427">
        <f ca="1">IFERROR(__xludf.DUMMYFUNCTION("IMPORTRANGE(""https://docs.google.com/spreadsheets/d/1-uDff_7J0KD5mKrp0Vvzr7lt3OU09vwQwhkpOPPYv2Y/edit?usp=sharing"",""งบพรบ!BC63"")"),0)</f>
        <v>0</v>
      </c>
      <c r="N102" s="427">
        <f ca="1">IFERROR(__xludf.DUMMYFUNCTION("IMPORTRANGE(""https://docs.google.com/spreadsheets/d/1-uDff_7J0KD5mKrp0Vvzr7lt3OU09vwQwhkpOPPYv2Y/edit?usp=sharing"",""งบพรบ!BE63"")"),0)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IFERROR(__xludf.DUMMYFUNCTION("IMPORTRANGE(""https://docs.google.com/spreadsheets/d/1eHaY18a8A9IcSdp1K8H6x8fbOy06t2VsZHhMHf-1x7Y/edit?usp=sharing"",""แผน!N63"")"),93)</f>
        <v>93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IFERROR(__xludf.DUMMYFUNCTION("IMPORTRANGE(""https://docs.google.com/spreadsheets/d/1eHaY18a8A9IcSdp1K8H6x8fbOy06t2VsZHhMHf-1x7Y/edit?usp=sharing"",""แผน!O63"")"),31)</f>
        <v>31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IFERROR(__xludf.DUMMYFUNCTION("IMPORTRANGE(""https://docs.google.com/spreadsheets/d/1eHaY18a8A9IcSdp1K8H6x8fbOy06t2VsZHhMHf-1x7Y/edit?usp=sharing"",""แผน!R63"")"),31)</f>
        <v>31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IFERROR(__xludf.DUMMYFUNCTION("IMPORTRANGE(""https://docs.google.com/spreadsheets/d/1-uDff_7J0KD5mKrp0Vvzr7lt3OU09vwQwhkpOPPYv2Y/edit?usp=sharing"",""งบพรบ!BG63"")"),0)</f>
        <v>0</v>
      </c>
      <c r="M130" s="864">
        <f ca="1">IFERROR(__xludf.DUMMYFUNCTION("IMPORTRANGE(""https://docs.google.com/spreadsheets/d/1-uDff_7J0KD5mKrp0Vvzr7lt3OU09vwQwhkpOPPYv2Y/edit?usp=sharing"",""งบพรบ!BL63"")"),0)</f>
        <v>0</v>
      </c>
      <c r="N130" s="864">
        <f ca="1">IFERROR(__xludf.DUMMYFUNCTION("IMPORTRANGE(""https://docs.google.com/spreadsheets/d/1-uDff_7J0KD5mKrp0Vvzr7lt3OU09vwQwhkpOPPYv2Y/edit?usp=sharing"",""งบพรบ!BN63"")"),0)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IFERROR(__xludf.DUMMYFUNCTION("IMPORTRANGE(""https://docs.google.com/spreadsheets/d/1-uDff_7J0KD5mKrp0Vvzr7lt3OU09vwQwhkpOPPYv2Y/edit?usp=sharing"",""งบพรบ!BJ63"")"),0)</f>
        <v>0</v>
      </c>
      <c r="M133" s="864">
        <f ca="1">IFERROR(__xludf.DUMMYFUNCTION("IMPORTRANGE(""https://docs.google.com/spreadsheets/d/1-uDff_7J0KD5mKrp0Vvzr7lt3OU09vwQwhkpOPPYv2Y/edit?usp=sharing"",""งบพรบ!BM63"")"),0)</f>
        <v>0</v>
      </c>
      <c r="N133" s="864">
        <f ca="1">IFERROR(__xludf.DUMMYFUNCTION("IMPORTRANGE(""https://docs.google.com/spreadsheets/d/1-uDff_7J0KD5mKrp0Vvzr7lt3OU09vwQwhkpOPPYv2Y/edit?usp=sharing"",""งบพรบ!BO63"")"),0)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50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5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56500</v>
      </c>
      <c r="M139" s="715">
        <f ca="1">M140+M141</f>
        <v>51500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56500</v>
      </c>
      <c r="M141" s="427">
        <f t="shared" ca="1" si="23"/>
        <v>51500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56500</v>
      </c>
      <c r="M142" s="427">
        <f ca="1">M143+M144</f>
        <v>51500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IFERROR(__xludf.DUMMYFUNCTION("IMPORTRANGE(""https://docs.google.com/spreadsheets/d/1-uDff_7J0KD5mKrp0Vvzr7lt3OU09vwQwhkpOPPYv2Y/edit?usp=sharing"",""งบพรบ!BQ63"")"),56500)</f>
        <v>56500</v>
      </c>
      <c r="M144" s="427">
        <f ca="1">IFERROR(__xludf.DUMMYFUNCTION("IMPORTRANGE(""https://docs.google.com/spreadsheets/d/1-uDff_7J0KD5mKrp0Vvzr7lt3OU09vwQwhkpOPPYv2Y/edit?usp=sharing"",""งบพรบ!BV63"")"),51500)</f>
        <v>51500</v>
      </c>
      <c r="N144" s="427">
        <f ca="1">IFERROR(__xludf.DUMMYFUNCTION("IMPORTRANGE(""https://docs.google.com/spreadsheets/d/1-uDff_7J0KD5mKrp0Vvzr7lt3OU09vwQwhkpOPPYv2Y/edit?usp=sharing"",""งบพรบ!BX63"")"),0)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IFERROR(__xludf.DUMMYFUNCTION("IMPORTRANGE(""https://docs.google.com/spreadsheets/d/1-uDff_7J0KD5mKrp0Vvzr7lt3OU09vwQwhkpOPPYv2Y/edit?usp=sharing"",""งบพรบ!BT63"")"),0)</f>
        <v>0</v>
      </c>
      <c r="M147" s="427">
        <f ca="1">IFERROR(__xludf.DUMMYFUNCTION("IMPORTRANGE(""https://docs.google.com/spreadsheets/d/1-uDff_7J0KD5mKrp0Vvzr7lt3OU09vwQwhkpOPPYv2Y/edit?usp=sharing"",""งบพรบ!BW63"")"),0)</f>
        <v>0</v>
      </c>
      <c r="N147" s="427">
        <f ca="1">IFERROR(__xludf.DUMMYFUNCTION("IMPORTRANGE(""https://docs.google.com/spreadsheets/d/1-uDff_7J0KD5mKrp0Vvzr7lt3OU09vwQwhkpOPPYv2Y/edit?usp=sharing"",""งบพรบ!BY63"")"),0)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IFERROR(__xludf.DUMMYFUNCTION("IMPORTRANGE(""https://docs.google.com/spreadsheets/d/1eHaY18a8A9IcSdp1K8H6x8fbOy06t2VsZHhMHf-1x7Y/edit?usp=sharing"",""แผน!U63"")"),0)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IFERROR(__xludf.DUMMYFUNCTION("IMPORTRANGE(""https://docs.google.com/spreadsheets/d/1eHaY18a8A9IcSdp1K8H6x8fbOy06t2VsZHhMHf-1x7Y/edit?usp=sharing"",""แผน!V63"")"),0)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IFERROR(__xludf.DUMMYFUNCTION("IMPORTRANGE(""https://docs.google.com/spreadsheets/d/1eHaY18a8A9IcSdp1K8H6x8fbOy06t2VsZHhMHf-1x7Y/edit?usp=sharing"",""แผน!W63"")"),50)</f>
        <v>50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IFERROR(__xludf.DUMMYFUNCTION("IMPORTRANGE(""https://docs.google.com/spreadsheets/d/1eHaY18a8A9IcSdp1K8H6x8fbOy06t2VsZHhMHf-1x7Y/edit?usp=sharing"",""แผน!X63"")"),5)</f>
        <v>5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IFERROR(__xludf.DUMMYFUNCTION("IMPORTRANGE(""https://docs.google.com/spreadsheets/d/1eHaY18a8A9IcSdp1K8H6x8fbOy06t2VsZHhMHf-1x7Y/edit?usp=sharing"",""แผน!Y63"")"),0)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IFERROR(__xludf.DUMMYFUNCTION("IMPORTRANGE(""https://docs.google.com/spreadsheets/d/1-uDff_7J0KD5mKrp0Vvzr7lt3OU09vwQwhkpOPPYv2Y/edit?usp=sharing"",""งบพรบ!CA63"")"),0)</f>
        <v>0</v>
      </c>
      <c r="M162" s="427">
        <f ca="1">IFERROR(__xludf.DUMMYFUNCTION("IMPORTRANGE(""https://docs.google.com/spreadsheets/d/1-uDff_7J0KD5mKrp0Vvzr7lt3OU09vwQwhkpOPPYv2Y/edit?usp=sharing"",""งบพรบ!CF63"")"),0)</f>
        <v>0</v>
      </c>
      <c r="N162" s="427">
        <f ca="1">IFERROR(__xludf.DUMMYFUNCTION("IMPORTRANGE(""https://docs.google.com/spreadsheets/d/1-uDff_7J0KD5mKrp0Vvzr7lt3OU09vwQwhkpOPPYv2Y/edit?usp=sharing"",""งบพรบ!CH63"")"),0)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IFERROR(__xludf.DUMMYFUNCTION("IMPORTRANGE(""https://docs.google.com/spreadsheets/d/1-uDff_7J0KD5mKrp0Vvzr7lt3OU09vwQwhkpOPPYv2Y/edit?usp=sharing"",""งบพรบ!CD63"")"),0)</f>
        <v>0</v>
      </c>
      <c r="M165" s="427">
        <f ca="1">IFERROR(__xludf.DUMMYFUNCTION("IMPORTRANGE(""https://docs.google.com/spreadsheets/d/1-uDff_7J0KD5mKrp0Vvzr7lt3OU09vwQwhkpOPPYv2Y/edit?usp=sharing"",""งบพรบ!CG63"")"),0)</f>
        <v>0</v>
      </c>
      <c r="N165" s="427">
        <f ca="1">IFERROR(__xludf.DUMMYFUNCTION("IMPORTRANGE(""https://docs.google.com/spreadsheets/d/1-uDff_7J0KD5mKrp0Vvzr7lt3OU09vwQwhkpOPPYv2Y/edit?usp=sharing"",""งบพรบ!CI63"")"),0)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IFERROR(__xludf.DUMMYFUNCTION("IMPORTRANGE(""https://docs.google.com/spreadsheets/d/1eHaY18a8A9IcSdp1K8H6x8fbOy06t2VsZHhMHf-1x7Y/edit?usp=sharing"",""แผน!Z63"")"),0)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IFERROR(__xludf.DUMMYFUNCTION("IMPORTRANGE(""https://docs.google.com/spreadsheets/d/1eHaY18a8A9IcSdp1K8H6x8fbOy06t2VsZHhMHf-1x7Y/edit?usp=sharing"",""แผน!Z63"")"),0)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IFERROR(__xludf.DUMMYFUNCTION("IMPORTRANGE(""https://docs.google.com/spreadsheets/d/1eHaY18a8A9IcSdp1K8H6x8fbOy06t2VsZHhMHf-1x7Y/edit?usp=sharing"",""แผน!Z63"")"),0)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18440</v>
      </c>
      <c r="O173" s="715">
        <f t="shared" ref="O173:O181" ca="1" si="27">IF(L173&gt;0,N173*100/L173,0)</f>
        <v>94.129657988769779</v>
      </c>
      <c r="P173" s="715">
        <f t="shared" ref="P173:P181" ca="1" si="28">IF(M173&gt;0,N173*100/M173,0)</f>
        <v>94.129657988769779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18440</v>
      </c>
      <c r="O175" s="427">
        <f t="shared" ca="1" si="27"/>
        <v>94.129657988769779</v>
      </c>
      <c r="P175" s="427">
        <f t="shared" ca="1" si="28"/>
        <v>94.129657988769779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18440</v>
      </c>
      <c r="O176" s="427">
        <f t="shared" ca="1" si="27"/>
        <v>94.129657988769779</v>
      </c>
      <c r="P176" s="427">
        <f t="shared" ca="1" si="28"/>
        <v>94.129657988769779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IFERROR(__xludf.DUMMYFUNCTION("IMPORTRANGE(""https://docs.google.com/spreadsheets/d/1-uDff_7J0KD5mKrp0Vvzr7lt3OU09vwQwhkpOPPYv2Y/edit?usp=sharing"",""งบพรบ!CK63"")"),19590)</f>
        <v>19590</v>
      </c>
      <c r="M178" s="427">
        <f ca="1">IFERROR(__xludf.DUMMYFUNCTION("IMPORTRANGE(""https://docs.google.com/spreadsheets/d/1-uDff_7J0KD5mKrp0Vvzr7lt3OU09vwQwhkpOPPYv2Y/edit?usp=sharing"",""งบพรบ!CP63"")"),19590)</f>
        <v>19590</v>
      </c>
      <c r="N178" s="427">
        <f ca="1">IFERROR(__xludf.DUMMYFUNCTION("IMPORTRANGE(""https://docs.google.com/spreadsheets/d/1-uDff_7J0KD5mKrp0Vvzr7lt3OU09vwQwhkpOPPYv2Y/edit?usp=sharing"",""งบพรบ!CR63"")"),18440)</f>
        <v>18440</v>
      </c>
      <c r="O178" s="427">
        <f t="shared" ca="1" si="27"/>
        <v>94.129657988769779</v>
      </c>
      <c r="P178" s="427">
        <f t="shared" ca="1" si="28"/>
        <v>94.129657988769779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IFERROR(__xludf.DUMMYFUNCTION("IMPORTRANGE(""https://docs.google.com/spreadsheets/d/1-uDff_7J0KD5mKrp0Vvzr7lt3OU09vwQwhkpOPPYv2Y/edit?usp=sharing"",""งบพรบ!CN63"")"),0)</f>
        <v>0</v>
      </c>
      <c r="M181" s="427">
        <f ca="1">IFERROR(__xludf.DUMMYFUNCTION("IMPORTRANGE(""https://docs.google.com/spreadsheets/d/1-uDff_7J0KD5mKrp0Vvzr7lt3OU09vwQwhkpOPPYv2Y/edit?usp=sharing"",""งบพรบ!CQ63"")"),0)</f>
        <v>0</v>
      </c>
      <c r="N181" s="427">
        <f ca="1">IFERROR(__xludf.DUMMYFUNCTION("IMPORTRANGE(""https://docs.google.com/spreadsheets/d/1-uDff_7J0KD5mKrp0Vvzr7lt3OU09vwQwhkpOPPYv2Y/edit?usp=sharing"",""งบพรบ!CS63"")"),0)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IFERROR(__xludf.DUMMYFUNCTION("IMPORTRANGE(""https://docs.google.com/spreadsheets/d/1eHaY18a8A9IcSdp1K8H6x8fbOy06t2VsZHhMHf-1x7Y/edit?usp=sharing"",""แผน!AA63"")"),7)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20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78100</v>
      </c>
      <c r="M186" s="715">
        <f ca="1">M187+M188</f>
        <v>64100</v>
      </c>
      <c r="N186" s="715">
        <f ca="1">N187+N188</f>
        <v>20360</v>
      </c>
      <c r="O186" s="715">
        <f t="shared" ref="O186:O194" ca="1" si="30">IF(L186&gt;0,N186*100/L186,0)</f>
        <v>26.069142125480155</v>
      </c>
      <c r="P186" s="715">
        <f t="shared" ref="P186:P194" ca="1" si="31">IF(M186&gt;0,N186*100/M186,0)</f>
        <v>31.762870514820595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78100</v>
      </c>
      <c r="M188" s="427">
        <f t="shared" ca="1" si="32"/>
        <v>64100</v>
      </c>
      <c r="N188" s="427">
        <f t="shared" ca="1" si="32"/>
        <v>20360</v>
      </c>
      <c r="O188" s="427">
        <f t="shared" ca="1" si="30"/>
        <v>26.069142125480155</v>
      </c>
      <c r="P188" s="427">
        <f t="shared" ca="1" si="31"/>
        <v>31.762870514820595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78100</v>
      </c>
      <c r="M189" s="427">
        <f ca="1">M190+M191</f>
        <v>64100</v>
      </c>
      <c r="N189" s="427">
        <f ca="1">N190+N191</f>
        <v>20360</v>
      </c>
      <c r="O189" s="427">
        <f t="shared" ca="1" si="30"/>
        <v>26.069142125480155</v>
      </c>
      <c r="P189" s="427">
        <f t="shared" ca="1" si="31"/>
        <v>31.762870514820595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IFERROR(__xludf.DUMMYFUNCTION("IMPORTRANGE(""https://docs.google.com/spreadsheets/d/1-uDff_7J0KD5mKrp0Vvzr7lt3OU09vwQwhkpOPPYv2Y/edit?usp=sharing"",""งบพรบ!CU63"")"),78100)</f>
        <v>78100</v>
      </c>
      <c r="M191" s="427">
        <f ca="1">IFERROR(__xludf.DUMMYFUNCTION("IMPORTRANGE(""https://docs.google.com/spreadsheets/d/1-uDff_7J0KD5mKrp0Vvzr7lt3OU09vwQwhkpOPPYv2Y/edit?usp=sharing"",""งบพรบ!CZ63"")"),64100)</f>
        <v>64100</v>
      </c>
      <c r="N191" s="427">
        <f ca="1">IFERROR(__xludf.DUMMYFUNCTION("IMPORTRANGE(""https://docs.google.com/spreadsheets/d/1-uDff_7J0KD5mKrp0Vvzr7lt3OU09vwQwhkpOPPYv2Y/edit?usp=sharing"",""งบพรบ!DB63"")"),20360)</f>
        <v>20360</v>
      </c>
      <c r="O191" s="427">
        <f t="shared" ca="1" si="30"/>
        <v>26.069142125480155</v>
      </c>
      <c r="P191" s="427">
        <f t="shared" ca="1" si="31"/>
        <v>31.762870514820595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IFERROR(__xludf.DUMMYFUNCTION("IMPORTRANGE(""https://docs.google.com/spreadsheets/d/1-uDff_7J0KD5mKrp0Vvzr7lt3OU09vwQwhkpOPPYv2Y/edit?usp=sharing"",""งบพรบ!CX63"")"),0)</f>
        <v>0</v>
      </c>
      <c r="M194" s="427">
        <f ca="1">IFERROR(__xludf.DUMMYFUNCTION("IMPORTRANGE(""https://docs.google.com/spreadsheets/d/1-uDff_7J0KD5mKrp0Vvzr7lt3OU09vwQwhkpOPPYv2Y/edit?usp=sharing"",""งบพรบ!DA63"")"),0)</f>
        <v>0</v>
      </c>
      <c r="N194" s="427">
        <f ca="1">IFERROR(__xludf.DUMMYFUNCTION("IMPORTRANGE(""https://docs.google.com/spreadsheets/d/1-uDff_7J0KD5mKrp0Vvzr7lt3OU09vwQwhkpOPPYv2Y/edit?usp=sharing"",""งบพรบ!DC63"")"),0)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IFERROR(__xludf.DUMMYFUNCTION("IMPORTRANGE(""https://docs.google.com/spreadsheets/d/1eHaY18a8A9IcSdp1K8H6x8fbOy06t2VsZHhMHf-1x7Y/edit?usp=sharing"",""แผน!AB63"")"),6000)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IFERROR(__xludf.DUMMYFUNCTION("IMPORTRANGE(""https://docs.google.com/spreadsheets/d/1eHaY18a8A9IcSdp1K8H6x8fbOy06t2VsZHhMHf-1x7Y/edit?usp=sharing"",""แผน!AE63"")"),4)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26000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IFERROR(__xludf.DUMMYFUNCTION("IMPORTRANGE(""https://docs.google.com/spreadsheets/d/1eHaY18a8A9IcSdp1K8H6x8fbOy06t2VsZHhMHf-1x7Y/edit?usp=sharing"",""แผน!AG63"")"),2000)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IFERROR(__xludf.DUMMYFUNCTION("IMPORTRANGE(""https://docs.google.com/spreadsheets/d/1eHaY18a8A9IcSdp1K8H6x8fbOy06t2VsZHhMHf-1x7Y/edit?usp=sharing"",""แผน!AH63"")"),0)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IFERROR(__xludf.DUMMYFUNCTION("IMPORTRANGE(""https://docs.google.com/spreadsheets/d/1eHaY18a8A9IcSdp1K8H6x8fbOy06t2VsZHhMHf-1x7Y/edit?usp=sharing"",""แผน!AI63"")"),16000)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IFERROR(__xludf.DUMMYFUNCTION("IMPORTRANGE(""https://docs.google.com/spreadsheets/d/1eHaY18a8A9IcSdp1K8H6x8fbOy06t2VsZHhMHf-1x7Y/edit?usp=sharing"",""แผน!AJ63"")"),8000)</f>
        <v>8000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IFERROR(__xludf.DUMMYFUNCTION("IMPORTRANGE(""https://docs.google.com/spreadsheets/d/1eHaY18a8A9IcSdp1K8H6x8fbOy06t2VsZHhMHf-1x7Y/edit?usp=sharing"",""แผน!AK63"")"),2)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IFERROR(__xludf.DUMMYFUNCTION("IMPORTRANGE(""https://docs.google.com/spreadsheets/d/1eHaY18a8A9IcSdp1K8H6x8fbOy06t2VsZHhMHf-1x7Y/edit?usp=sharing"",""แผน!JX63"")"),2)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IFERROR(__xludf.DUMMYFUNCTION("IMPORTRANGE(""https://docs.google.com/spreadsheets/d/1eHaY18a8A9IcSdp1K8H6x8fbOy06t2VsZHhMHf-1x7Y/edit?usp=sharing"",""แผน!JY63"")"),0)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IFERROR(__xludf.DUMMYFUNCTION("IMPORTRANGE(""https://docs.google.com/spreadsheets/d/1eHaY18a8A9IcSdp1K8H6x8fbOy06t2VsZHhMHf-1x7Y/edit?usp=sharing"",""แผน!AM63"")"),0)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IFERROR(__xludf.DUMMYFUNCTION("IMPORTRANGE(""https://docs.google.com/spreadsheets/d/1eHaY18a8A9IcSdp1K8H6x8fbOy06t2VsZHhMHf-1x7Y/edit?usp=sharing"",""แผน!AN63"")"),0)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IFERROR(__xludf.DUMMYFUNCTION("IMPORTRANGE(""https://docs.google.com/spreadsheets/d/1eHaY18a8A9IcSdp1K8H6x8fbOy06t2VsZHhMHf-1x7Y/edit?usp=sharing"",""แผน!AO63"")"),0)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IFERROR(__xludf.DUMMYFUNCTION("IMPORTRANGE(""https://docs.google.com/spreadsheets/d/1eHaY18a8A9IcSdp1K8H6x8fbOy06t2VsZHhMHf-1x7Y/edit?usp=sharing"",""แผน!AP63"")"),0)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IFERROR(__xludf.DUMMYFUNCTION("IMPORTRANGE(""https://docs.google.com/spreadsheets/d/1eHaY18a8A9IcSdp1K8H6x8fbOy06t2VsZHhMHf-1x7Y/edit?usp=sharing"",""แผน!AP63"")"),0)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IFERROR(__xludf.DUMMYFUNCTION("IMPORTRANGE(""https://docs.google.com/spreadsheets/d/1eHaY18a8A9IcSdp1K8H6x8fbOy06t2VsZHhMHf-1x7Y/edit?usp=sharing"",""แผน!AR63"")"),3000)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IFERROR(__xludf.DUMMYFUNCTION("IMPORTRANGE(""https://docs.google.com/spreadsheets/d/1eHaY18a8A9IcSdp1K8H6x8fbOy06t2VsZHhMHf-1x7Y/edit?usp=sharing"",""แผน!AS63"")"),1500)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IFERROR(__xludf.DUMMYFUNCTION("IMPORTRANGE(""https://docs.google.com/spreadsheets/d/1eHaY18a8A9IcSdp1K8H6x8fbOy06t2VsZHhMHf-1x7Y/edit?usp=sharing"",""แผน!AT63"")"),0)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IFERROR(__xludf.DUMMYFUNCTION("IMPORTRANGE(""https://docs.google.com/spreadsheets/d/1eHaY18a8A9IcSdp1K8H6x8fbOy06t2VsZHhMHf-1x7Y/edit?usp=sharing"",""แผน!AV63"")"),20000)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IFERROR(__xludf.DUMMYFUNCTION("IMPORTRANGE(""https://docs.google.com/spreadsheets/d/1eHaY18a8A9IcSdp1K8H6x8fbOy06t2VsZHhMHf-1x7Y/edit?usp=sharing"",""แผน!AV63"")"),20000)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IFERROR(__xludf.DUMMYFUNCTION("IMPORTRANGE(""https://docs.google.com/spreadsheets/d/1eHaY18a8A9IcSdp1K8H6x8fbOy06t2VsZHhMHf-1x7Y/edit?usp=sharing"",""แผน!AU63"")"),0)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597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20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6"/>
      <c r="C232" s="51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41600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6"/>
      <c r="D233" s="1082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5000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603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603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15600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520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19000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513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83" t="s">
        <v>33</v>
      </c>
      <c r="I238" s="201">
        <f ca="1">I249+I260</f>
        <v>20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513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83" t="s">
        <v>33</v>
      </c>
      <c r="I240" s="201">
        <f ca="1">I251+I262</f>
        <v>20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83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434"/>
      <c r="B242" s="436"/>
      <c r="C242" s="826" t="s">
        <v>262</v>
      </c>
      <c r="D242" s="435"/>
      <c r="E242" s="435"/>
      <c r="F242" s="435"/>
      <c r="G242" s="438"/>
      <c r="H242" s="439" t="s">
        <v>33</v>
      </c>
      <c r="I242" s="440">
        <f ca="1">I249</f>
        <v>20</v>
      </c>
      <c r="J242" s="440">
        <f>J249</f>
        <v>0</v>
      </c>
      <c r="K242" s="441">
        <f ca="1">IF(I242&gt;0,J242*100/I242,0)</f>
        <v>0</v>
      </c>
      <c r="L242" s="555"/>
      <c r="M242" s="555"/>
      <c r="N242" s="555"/>
      <c r="O242" s="555"/>
      <c r="P242" s="555"/>
    </row>
    <row r="243" spans="1:16" ht="19.5" x14ac:dyDescent="0.3">
      <c r="A243" s="684"/>
      <c r="B243" s="420"/>
      <c r="C243" s="718" t="s">
        <v>16</v>
      </c>
      <c r="D243" s="717" t="s">
        <v>17</v>
      </c>
      <c r="E243" s="420"/>
      <c r="F243" s="420"/>
      <c r="G243" s="424"/>
      <c r="H243" s="819" t="s">
        <v>12</v>
      </c>
      <c r="I243" s="679"/>
      <c r="J243" s="679"/>
      <c r="K243" s="678"/>
      <c r="L243" s="715">
        <f ca="1">L244+L245+L246+L247</f>
        <v>41600</v>
      </c>
      <c r="M243" s="430"/>
      <c r="N243" s="715">
        <f>N244+N245+N246+N247</f>
        <v>0</v>
      </c>
      <c r="O243" s="715">
        <f ca="1">IF(L243&gt;0,N243*100/L243,0)</f>
        <v>0</v>
      </c>
      <c r="P243" s="715">
        <f>IF(M243&gt;0,N243*100/M243,0)</f>
        <v>0</v>
      </c>
    </row>
    <row r="244" spans="1:16" ht="18.75" x14ac:dyDescent="0.25">
      <c r="A244" s="684"/>
      <c r="B244" s="421"/>
      <c r="C244" s="420"/>
      <c r="D244" s="814" t="s">
        <v>152</v>
      </c>
      <c r="E244" s="420"/>
      <c r="F244" s="420"/>
      <c r="G244" s="424"/>
      <c r="H244" s="714" t="s">
        <v>12</v>
      </c>
      <c r="I244" s="679"/>
      <c r="J244" s="679"/>
      <c r="K244" s="678"/>
      <c r="L244" s="427">
        <f ca="1">IFERROR(__xludf.DUMMYFUNCTION("IMPORTRANGE(""https://docs.google.com/spreadsheets/d/1eHaY18a8A9IcSdp1K8H6x8fbOy06t2VsZHhMHf-1x7Y/edit?usp=sharing"",""แผน!AX63"")"),5000)</f>
        <v>5000</v>
      </c>
      <c r="M244" s="430"/>
      <c r="N244" s="818">
        <v>0</v>
      </c>
      <c r="O244" s="430"/>
      <c r="P244" s="430"/>
    </row>
    <row r="245" spans="1:16" ht="18.75" x14ac:dyDescent="0.25">
      <c r="A245" s="419"/>
      <c r="B245" s="421"/>
      <c r="C245" s="421"/>
      <c r="D245" s="729" t="s">
        <v>81</v>
      </c>
      <c r="E245" s="420"/>
      <c r="F245" s="420"/>
      <c r="G245" s="424"/>
      <c r="H245" s="714" t="s">
        <v>12</v>
      </c>
      <c r="I245" s="429"/>
      <c r="J245" s="429"/>
      <c r="K245" s="430"/>
      <c r="L245" s="427">
        <f ca="1">IFERROR(__xludf.DUMMYFUNCTION("IMPORTRANGE(""https://docs.google.com/spreadsheets/d/1eHaY18a8A9IcSdp1K8H6x8fbOy06t2VsZHhMHf-1x7Y/edit?usp=sharing"",""แผน!AY63"")"),2000)</f>
        <v>2000</v>
      </c>
      <c r="M245" s="430"/>
      <c r="N245" s="818">
        <v>0</v>
      </c>
      <c r="O245" s="430"/>
      <c r="P245" s="430"/>
    </row>
    <row r="246" spans="1:16" ht="18.75" x14ac:dyDescent="0.25">
      <c r="A246" s="419"/>
      <c r="B246" s="421"/>
      <c r="C246" s="421"/>
      <c r="D246" s="729" t="s">
        <v>82</v>
      </c>
      <c r="E246" s="420"/>
      <c r="F246" s="420"/>
      <c r="G246" s="424"/>
      <c r="H246" s="714" t="s">
        <v>12</v>
      </c>
      <c r="I246" s="429"/>
      <c r="J246" s="429"/>
      <c r="K246" s="430"/>
      <c r="L246" s="427">
        <f ca="1">IFERROR(__xludf.DUMMYFUNCTION("IMPORTRANGE(""https://docs.google.com/spreadsheets/d/1eHaY18a8A9IcSdp1K8H6x8fbOy06t2VsZHhMHf-1x7Y/edit?usp=sharing"",""แผน!AZ63"")"),15600)</f>
        <v>15600</v>
      </c>
      <c r="M246" s="430"/>
      <c r="N246" s="818">
        <v>0</v>
      </c>
      <c r="O246" s="430"/>
      <c r="P246" s="430"/>
    </row>
    <row r="247" spans="1:16" ht="18.75" x14ac:dyDescent="0.25">
      <c r="A247" s="419"/>
      <c r="B247" s="421"/>
      <c r="C247" s="421"/>
      <c r="D247" s="295" t="s">
        <v>83</v>
      </c>
      <c r="E247" s="420"/>
      <c r="F247" s="420"/>
      <c r="G247" s="424"/>
      <c r="H247" s="714" t="s">
        <v>12</v>
      </c>
      <c r="I247" s="429"/>
      <c r="J247" s="429"/>
      <c r="K247" s="430"/>
      <c r="L247" s="427">
        <f ca="1">IFERROR(__xludf.DUMMYFUNCTION("IMPORTRANGE(""https://docs.google.com/spreadsheets/d/1eHaY18a8A9IcSdp1K8H6x8fbOy06t2VsZHhMHf-1x7Y/edit?usp=sharing"",""แผน!BA63"")"),19000)</f>
        <v>19000</v>
      </c>
      <c r="M247" s="430"/>
      <c r="N247" s="818">
        <v>0</v>
      </c>
      <c r="O247" s="430"/>
      <c r="P247" s="430"/>
    </row>
    <row r="248" spans="1:16" ht="19.5" x14ac:dyDescent="0.3">
      <c r="A248" s="683"/>
      <c r="B248" s="432"/>
      <c r="C248" s="711" t="s">
        <v>16</v>
      </c>
      <c r="D248" s="737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x14ac:dyDescent="0.25">
      <c r="A249" s="683"/>
      <c r="B249" s="432"/>
      <c r="C249" s="432"/>
      <c r="D249" s="423" t="s">
        <v>102</v>
      </c>
      <c r="E249" s="422"/>
      <c r="F249" s="422"/>
      <c r="G249" s="680"/>
      <c r="H249" s="769" t="s">
        <v>33</v>
      </c>
      <c r="I249" s="426">
        <f ca="1">IFERROR(__xludf.DUMMYFUNCTION("IMPORTRANGE(""https://docs.google.com/spreadsheets/d/1eHaY18a8A9IcSdp1K8H6x8fbOy06t2VsZHhMHf-1x7Y/edit?usp=sharing"",""แผน!BG63"")"),20)</f>
        <v>20</v>
      </c>
      <c r="J249" s="736">
        <v>0</v>
      </c>
      <c r="K249" s="427">
        <f ca="1">IF(I249&gt;0,J249*100/I249,0)</f>
        <v>0</v>
      </c>
      <c r="L249" s="430"/>
      <c r="M249" s="430"/>
      <c r="N249" s="430"/>
      <c r="O249" s="430"/>
      <c r="P249" s="430"/>
    </row>
    <row r="250" spans="1:16" ht="18.75" x14ac:dyDescent="0.25">
      <c r="A250" s="683"/>
      <c r="B250" s="432"/>
      <c r="C250" s="432"/>
      <c r="D250" s="709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x14ac:dyDescent="0.25">
      <c r="A251" s="683"/>
      <c r="B251" s="432"/>
      <c r="C251" s="432"/>
      <c r="D251" s="432"/>
      <c r="E251" s="706" t="s">
        <v>103</v>
      </c>
      <c r="F251" s="422"/>
      <c r="G251" s="680"/>
      <c r="H251" s="769" t="s">
        <v>33</v>
      </c>
      <c r="I251" s="426">
        <f ca="1">IFERROR(__xludf.DUMMYFUNCTION("IMPORTRANGE(""https://docs.google.com/spreadsheets/d/1eHaY18a8A9IcSdp1K8H6x8fbOy06t2VsZHhMHf-1x7Y/edit?usp=sharing"",""แผน!KF63"")"),20)</f>
        <v>20</v>
      </c>
      <c r="J251" s="736">
        <v>0</v>
      </c>
      <c r="K251" s="427">
        <f ca="1">IF(I251&gt;0,J251*100/I251,0)</f>
        <v>0</v>
      </c>
      <c r="L251" s="430"/>
      <c r="M251" s="430"/>
      <c r="N251" s="430"/>
      <c r="O251" s="430"/>
      <c r="P251" s="430"/>
    </row>
    <row r="252" spans="1:16" ht="18.75" x14ac:dyDescent="0.25">
      <c r="A252" s="683"/>
      <c r="B252" s="432"/>
      <c r="C252" s="432"/>
      <c r="D252" s="432"/>
      <c r="E252" s="706" t="s">
        <v>104</v>
      </c>
      <c r="F252" s="422"/>
      <c r="G252" s="680"/>
      <c r="H252" s="769" t="s">
        <v>54</v>
      </c>
      <c r="I252" s="426">
        <f ca="1">IFERROR(__xludf.DUMMYFUNCTION("IMPORTRANGE(""https://docs.google.com/spreadsheets/d/1eHaY18a8A9IcSdp1K8H6x8fbOy06t2VsZHhMHf-1x7Y/edit?usp=sharing"",""แผน!KG63"")"),1)</f>
        <v>1</v>
      </c>
      <c r="J252" s="736">
        <v>0</v>
      </c>
      <c r="K252" s="427">
        <f ca="1"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IFERROR(__xludf.DUMMYFUNCTION("IMPORTRANGE(""https://docs.google.com/spreadsheets/d/1eHaY18a8A9IcSdp1K8H6x8fbOy06t2VsZHhMHf-1x7Y/edit?usp=sharing"",""แผน!BB63"")"),0)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IFERROR(__xludf.DUMMYFUNCTION("IMPORTRANGE(""https://docs.google.com/spreadsheets/d/1eHaY18a8A9IcSdp1K8H6x8fbOy06t2VsZHhMHf-1x7Y/edit?usp=sharing"",""แผน!BC63"")"),0)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IFERROR(__xludf.DUMMYFUNCTION("IMPORTRANGE(""https://docs.google.com/spreadsheets/d/1eHaY18a8A9IcSdp1K8H6x8fbOy06t2VsZHhMHf-1x7Y/edit?usp=sharing"",""แผน!BD63"")"),0)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IFERROR(__xludf.DUMMYFUNCTION("IMPORTRANGE(""https://docs.google.com/spreadsheets/d/1eHaY18a8A9IcSdp1K8H6x8fbOy06t2VsZHhMHf-1x7Y/edit?usp=sharing"",""แผน!BE63"")"),0)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IFERROR(__xludf.DUMMYFUNCTION("IMPORTRANGE(""https://docs.google.com/spreadsheets/d/1eHaY18a8A9IcSdp1K8H6x8fbOy06t2VsZHhMHf-1x7Y/edit?usp=sharing"",""แผน!BH63"")"),0)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IFERROR(__xludf.DUMMYFUNCTION("IMPORTRANGE(""https://docs.google.com/spreadsheets/d/1-uDff_7J0KD5mKrp0Vvzr7lt3OU09vwQwhkpOPPYv2Y/edit?usp=sharing"",""งบพรบ!DE63"")"),0)</f>
        <v>0</v>
      </c>
      <c r="M271" s="502">
        <f ca="1">IFERROR(__xludf.DUMMYFUNCTION("IMPORTRANGE(""https://docs.google.com/spreadsheets/d/1-uDff_7J0KD5mKrp0Vvzr7lt3OU09vwQwhkpOPPYv2Y/edit?usp=sharing"",""งบพรบ!DJ63"")"),0)</f>
        <v>0</v>
      </c>
      <c r="N271" s="502">
        <f ca="1">IFERROR(__xludf.DUMMYFUNCTION("IMPORTRANGE(""https://docs.google.com/spreadsheets/d/1-uDff_7J0KD5mKrp0Vvzr7lt3OU09vwQwhkpOPPYv2Y/edit?usp=sharing"",""งบพรบ!DL63"")"),0)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IFERROR(__xludf.DUMMYFUNCTION("IMPORTRANGE(""https://docs.google.com/spreadsheets/d/1-uDff_7J0KD5mKrp0Vvzr7lt3OU09vwQwhkpOPPYv2Y/edit?usp=sharing"",""งบพรบ!DH63"")"),0)</f>
        <v>0</v>
      </c>
      <c r="M274" s="502">
        <f ca="1">IFERROR(__xludf.DUMMYFUNCTION("IMPORTRANGE(""https://docs.google.com/spreadsheets/d/1-uDff_7J0KD5mKrp0Vvzr7lt3OU09vwQwhkpOPPYv2Y/edit?usp=sharing"",""งบพรบ!DK63"")"),0)</f>
        <v>0</v>
      </c>
      <c r="N274" s="502">
        <f ca="1">IFERROR(__xludf.DUMMYFUNCTION("IMPORTRANGE(""https://docs.google.com/spreadsheets/d/1-uDff_7J0KD5mKrp0Vvzr7lt3OU09vwQwhkpOPPYv2Y/edit?usp=sharing"",""งบพรบ!DM63"")"),0)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IFERROR(__xludf.DUMMYFUNCTION("IMPORTRANGE(""https://docs.google.com/spreadsheets/d/1-uDff_7J0KD5mKrp0Vvzr7lt3OU09vwQwhkpOPPYv2Y/edit?usp=sharing"",""งบพรบ!DO63"")"),0)</f>
        <v>0</v>
      </c>
      <c r="M287" s="427">
        <f ca="1">IFERROR(__xludf.DUMMYFUNCTION("IMPORTRANGE(""https://docs.google.com/spreadsheets/d/1-uDff_7J0KD5mKrp0Vvzr7lt3OU09vwQwhkpOPPYv2Y/edit?usp=sharing"",""งบพรบ!DT63"")"),0)</f>
        <v>0</v>
      </c>
      <c r="N287" s="427">
        <f ca="1">IFERROR(__xludf.DUMMYFUNCTION("IMPORTRANGE(""https://docs.google.com/spreadsheets/d/1-uDff_7J0KD5mKrp0Vvzr7lt3OU09vwQwhkpOPPYv2Y/edit?usp=sharing"",""งบพรบ!DV63"")"),0)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IFERROR(__xludf.DUMMYFUNCTION("IMPORTRANGE(""https://docs.google.com/spreadsheets/d/1-uDff_7J0KD5mKrp0Vvzr7lt3OU09vwQwhkpOPPYv2Y/edit?usp=sharing"",""งบพรบ!DR63"")"),0)</f>
        <v>0</v>
      </c>
      <c r="M290" s="427">
        <f ca="1">IFERROR(__xludf.DUMMYFUNCTION("IMPORTRANGE(""https://docs.google.com/spreadsheets/d/1-uDff_7J0KD5mKrp0Vvzr7lt3OU09vwQwhkpOPPYv2Y/edit?usp=sharing"",""งบพรบ!DU63"")"),0)</f>
        <v>0</v>
      </c>
      <c r="N290" s="427">
        <f ca="1">IFERROR(__xludf.DUMMYFUNCTION("IMPORTRANGE(""https://docs.google.com/spreadsheets/d/1-uDff_7J0KD5mKrp0Vvzr7lt3OU09vwQwhkpOPPYv2Y/edit?usp=sharing"",""งบพรบ!DW63"")"),0)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IFERROR(__xludf.DUMMYFUNCTION("IMPORTRANGE(""https://docs.google.com/spreadsheets/d/1eHaY18a8A9IcSdp1K8H6x8fbOy06t2VsZHhMHf-1x7Y/edit?usp=sharing"",""แผน!EE63"")"),0)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IFERROR(__xludf.DUMMYFUNCTION("IMPORTRANGE(""https://docs.google.com/spreadsheets/d/1eHaY18a8A9IcSdp1K8H6x8fbOy06t2VsZHhMHf-1x7Y/edit?usp=sharing"",""แผน!ED63"")"),0)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IFERROR(__xludf.DUMMYFUNCTION("IMPORTRANGE(""https://docs.google.com/spreadsheets/d/1eHaY18a8A9IcSdp1K8H6x8fbOy06t2VsZHhMHf-1x7Y/edit?usp=sharing"",""แผน!ED63"")"),0)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IFERROR(__xludf.DUMMYFUNCTION("IMPORTRANGE(""https://docs.google.com/spreadsheets/d/1eHaY18a8A9IcSdp1K8H6x8fbOy06t2VsZHhMHf-1x7Y/edit?usp=sharing"",""แผน!ED63"")"),0)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20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82400</v>
      </c>
      <c r="M303" s="715">
        <f ca="1">M304+M305</f>
        <v>64400</v>
      </c>
      <c r="N303" s="715">
        <f ca="1">N304+N305</f>
        <v>1690</v>
      </c>
      <c r="O303" s="715">
        <f t="shared" ref="O303:O311" ca="1" si="39">IF(L303&gt;0,N303*100/L303,0)</f>
        <v>2.0509708737864076</v>
      </c>
      <c r="P303" s="715">
        <f t="shared" ref="P303:P311" ca="1" si="40">IF(M303&gt;0,N303*100/M303,0)</f>
        <v>2.6242236024844718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82400</v>
      </c>
      <c r="M305" s="427">
        <f t="shared" ca="1" si="41"/>
        <v>64400</v>
      </c>
      <c r="N305" s="427">
        <f t="shared" ca="1" si="41"/>
        <v>1690</v>
      </c>
      <c r="O305" s="427">
        <f t="shared" ca="1" si="39"/>
        <v>2.0509708737864076</v>
      </c>
      <c r="P305" s="427">
        <f t="shared" ca="1" si="40"/>
        <v>2.6242236024844718</v>
      </c>
    </row>
    <row r="306" spans="1:16" ht="18.75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82400</v>
      </c>
      <c r="M306" s="427">
        <f ca="1">M307+M308</f>
        <v>64400</v>
      </c>
      <c r="N306" s="427">
        <f ca="1">N307+N308</f>
        <v>1690</v>
      </c>
      <c r="O306" s="427">
        <f t="shared" ca="1" si="39"/>
        <v>2.0509708737864076</v>
      </c>
      <c r="P306" s="427">
        <f t="shared" ca="1" si="40"/>
        <v>2.6242236024844718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IFERROR(__xludf.DUMMYFUNCTION("IMPORTRANGE(""https://docs.google.com/spreadsheets/d/1-uDff_7J0KD5mKrp0Vvzr7lt3OU09vwQwhkpOPPYv2Y/edit?usp=sharing"",""งบพรบ!DY63"")"),82400)</f>
        <v>82400</v>
      </c>
      <c r="M308" s="427">
        <f ca="1">IFERROR(__xludf.DUMMYFUNCTION("IMPORTRANGE(""https://docs.google.com/spreadsheets/d/1-uDff_7J0KD5mKrp0Vvzr7lt3OU09vwQwhkpOPPYv2Y/edit?usp=sharing"",""งบพรบ!ED63"")"),64400)</f>
        <v>64400</v>
      </c>
      <c r="N308" s="427">
        <f ca="1">IFERROR(__xludf.DUMMYFUNCTION("IMPORTRANGE(""https://docs.google.com/spreadsheets/d/1-uDff_7J0KD5mKrp0Vvzr7lt3OU09vwQwhkpOPPYv2Y/edit?usp=sharing"",""งบพรบ!EF63"")"),1690)</f>
        <v>1690</v>
      </c>
      <c r="O308" s="427">
        <f t="shared" ca="1" si="39"/>
        <v>2.0509708737864076</v>
      </c>
      <c r="P308" s="427">
        <f t="shared" ca="1" si="40"/>
        <v>2.6242236024844718</v>
      </c>
    </row>
    <row r="309" spans="1:16" ht="18.75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IFERROR(__xludf.DUMMYFUNCTION("IMPORTRANGE(""https://docs.google.com/spreadsheets/d/1-uDff_7J0KD5mKrp0Vvzr7lt3OU09vwQwhkpOPPYv2Y/edit?usp=sharing"",""งบพรบ!EB63"")"),0)</f>
        <v>0</v>
      </c>
      <c r="M311" s="427">
        <f ca="1">IFERROR(__xludf.DUMMYFUNCTION("IMPORTRANGE(""https://docs.google.com/spreadsheets/d/1-uDff_7J0KD5mKrp0Vvzr7lt3OU09vwQwhkpOPPYv2Y/edit?usp=sharing"",""งบพรบ!EE63"")"),0)</f>
        <v>0</v>
      </c>
      <c r="N311" s="427">
        <f ca="1">IFERROR(__xludf.DUMMYFUNCTION("IMPORTRANGE(""https://docs.google.com/spreadsheets/d/1-uDff_7J0KD5mKrp0Vvzr7lt3OU09vwQwhkpOPPYv2Y/edit?usp=sharing"",""งบพรบ!EG63"")"),0)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IFERROR(__xludf.DUMMYFUNCTION("IMPORTRANGE(""https://docs.google.com/spreadsheets/d/1eHaY18a8A9IcSdp1K8H6x8fbOy06t2VsZHhMHf-1x7Y/edit?usp=sharing"",""แผน!EF63"")"),20)</f>
        <v>20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IFERROR(__xludf.DUMMYFUNCTION("IMPORTRANGE(""https://docs.google.com/spreadsheets/d/1eHaY18a8A9IcSdp1K8H6x8fbOy06t2VsZHhMHf-1x7Y/edit?usp=sharing"",""แผน!EG63"")"),4)</f>
        <v>4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IFERROR(__xludf.DUMMYFUNCTION("IMPORTRANGE(""https://docs.google.com/spreadsheets/d/1eHaY18a8A9IcSdp1K8H6x8fbOy06t2VsZHhMHf-1x7Y/edit?usp=sharing"",""แผน!EH63"")"),20)</f>
        <v>20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IFERROR(__xludf.DUMMYFUNCTION("IMPORTRANGE(""https://docs.google.com/spreadsheets/d/1eHaY18a8A9IcSdp1K8H6x8fbOy06t2VsZHhMHf-1x7Y/edit?usp=sharing"",""แผน!EI63"")"),4)</f>
        <v>4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IFERROR(__xludf.DUMMYFUNCTION("IMPORTRANGE(""https://docs.google.com/spreadsheets/d/1-uDff_7J0KD5mKrp0Vvzr7lt3OU09vwQwhkpOPPYv2Y/edit?usp=sharing"",""งบพรบ!EI63"")"),0)</f>
        <v>0</v>
      </c>
      <c r="M325" s="427">
        <f ca="1">IFERROR(__xludf.DUMMYFUNCTION("IMPORTRANGE(""https://docs.google.com/spreadsheets/d/1-uDff_7J0KD5mKrp0Vvzr7lt3OU09vwQwhkpOPPYv2Y/edit?usp=sharing"",""งบพรบ!EN63"")"),0)</f>
        <v>0</v>
      </c>
      <c r="N325" s="427">
        <f ca="1">IFERROR(__xludf.DUMMYFUNCTION("IMPORTRANGE(""https://docs.google.com/spreadsheets/d/1-uDff_7J0KD5mKrp0Vvzr7lt3OU09vwQwhkpOPPYv2Y/edit?usp=sharing"",""งบพรบ!EP63"")"),0)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IFERROR(__xludf.DUMMYFUNCTION("IMPORTRANGE(""https://docs.google.com/spreadsheets/d/1-uDff_7J0KD5mKrp0Vvzr7lt3OU09vwQwhkpOPPYv2Y/edit?usp=sharing"",""งบพรบ!EL63"")"),0)</f>
        <v>0</v>
      </c>
      <c r="M328" s="427">
        <f ca="1">IFERROR(__xludf.DUMMYFUNCTION("IMPORTRANGE(""https://docs.google.com/spreadsheets/d/1-uDff_7J0KD5mKrp0Vvzr7lt3OU09vwQwhkpOPPYv2Y/edit?usp=sharing"",""งบพรบ!EO63"")"),0)</f>
        <v>0</v>
      </c>
      <c r="N328" s="427">
        <f ca="1">IFERROR(__xludf.DUMMYFUNCTION("IMPORTRANGE(""https://docs.google.com/spreadsheets/d/1-uDff_7J0KD5mKrp0Vvzr7lt3OU09vwQwhkpOPPYv2Y/edit?usp=sharing"",""งบพรบ!EQ63"")"),0)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IFERROR(__xludf.DUMMYFUNCTION("IMPORTRANGE(""https://docs.google.com/spreadsheets/d/1eHaY18a8A9IcSdp1K8H6x8fbOy06t2VsZHhMHf-1x7Y/edit?usp=sharing"",""แผน!EJ63"")"),0)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660</v>
      </c>
      <c r="J332" s="404">
        <f ca="1">J344+J347+J348+J349+J353</f>
        <v>1001</v>
      </c>
      <c r="K332" s="405">
        <f ca="1">IF(I332&gt;0,J332*100/I332,0)</f>
        <v>151.66666666666666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101000</v>
      </c>
      <c r="M333" s="715">
        <f ca="1">M334+M335</f>
        <v>79350</v>
      </c>
      <c r="N333" s="715">
        <f ca="1">N334+N335</f>
        <v>29360</v>
      </c>
      <c r="O333" s="715">
        <f t="shared" ref="O333:O341" ca="1" si="45">IF(L333&gt;0,N333*100/L333,0)</f>
        <v>29.06930693069307</v>
      </c>
      <c r="P333" s="715">
        <f t="shared" ref="P333:P341" ca="1" si="46">IF(M333&gt;0,N333*100/M333,0)</f>
        <v>37.00063011972275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101000</v>
      </c>
      <c r="M335" s="427">
        <f t="shared" ca="1" si="47"/>
        <v>79350</v>
      </c>
      <c r="N335" s="427">
        <f t="shared" ca="1" si="47"/>
        <v>29360</v>
      </c>
      <c r="O335" s="427">
        <f t="shared" ca="1" si="45"/>
        <v>29.06930693069307</v>
      </c>
      <c r="P335" s="427">
        <f t="shared" ca="1" si="46"/>
        <v>37.00063011972275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101000</v>
      </c>
      <c r="M336" s="427">
        <f ca="1">M337+M338</f>
        <v>79350</v>
      </c>
      <c r="N336" s="427">
        <f ca="1">N337+N338</f>
        <v>29360</v>
      </c>
      <c r="O336" s="427">
        <f t="shared" ca="1" si="45"/>
        <v>29.06930693069307</v>
      </c>
      <c r="P336" s="427">
        <f t="shared" ca="1" si="46"/>
        <v>37.00063011972275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IFERROR(__xludf.DUMMYFUNCTION("IMPORTRANGE(""https://docs.google.com/spreadsheets/d/1-uDff_7J0KD5mKrp0Vvzr7lt3OU09vwQwhkpOPPYv2Y/edit?usp=sharing"",""งบพรบ!ES63"")"),101000)</f>
        <v>101000</v>
      </c>
      <c r="M338" s="427">
        <f ca="1">IFERROR(__xludf.DUMMYFUNCTION("IMPORTRANGE(""https://docs.google.com/spreadsheets/d/1-uDff_7J0KD5mKrp0Vvzr7lt3OU09vwQwhkpOPPYv2Y/edit?usp=sharing"",""งบพรบ!EX63"")"),79350)</f>
        <v>79350</v>
      </c>
      <c r="N338" s="427">
        <f ca="1">IFERROR(__xludf.DUMMYFUNCTION("IMPORTRANGE(""https://docs.google.com/spreadsheets/d/1-uDff_7J0KD5mKrp0Vvzr7lt3OU09vwQwhkpOPPYv2Y/edit?usp=sharing"",""งบพรบ!EZ63"")"),29360)</f>
        <v>29360</v>
      </c>
      <c r="O338" s="427">
        <f t="shared" ca="1" si="45"/>
        <v>29.06930693069307</v>
      </c>
      <c r="P338" s="427">
        <f t="shared" ca="1" si="46"/>
        <v>37.00063011972275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IFERROR(__xludf.DUMMYFUNCTION("IMPORTRANGE(""https://docs.google.com/spreadsheets/d/1-uDff_7J0KD5mKrp0Vvzr7lt3OU09vwQwhkpOPPYv2Y/edit?usp=sharing"",""งบพรบ!EV63"")"),0)</f>
        <v>0</v>
      </c>
      <c r="M341" s="427">
        <f ca="1">IFERROR(__xludf.DUMMYFUNCTION("IMPORTRANGE(""https://docs.google.com/spreadsheets/d/1-uDff_7J0KD5mKrp0Vvzr7lt3OU09vwQwhkpOPPYv2Y/edit?usp=sharing"",""งบพรบ!EY63"")"),0)</f>
        <v>0</v>
      </c>
      <c r="N341" s="427">
        <f ca="1">IFERROR(__xludf.DUMMYFUNCTION("IMPORTRANGE(""https://docs.google.com/spreadsheets/d/1-uDff_7J0KD5mKrp0Vvzr7lt3OU09vwQwhkpOPPYv2Y/edit?usp=sharing"",""งบพรบ!FA63"")"),0)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353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IFERROR(__xludf.DUMMYFUNCTION("IMPORTRANGE(""https://docs.google.com/spreadsheets/d/1eHaY18a8A9IcSdp1K8H6x8fbOy06t2VsZHhMHf-1x7Y/edit?usp=sharing"",""แผน!EK63"")"),660)</f>
        <v>660</v>
      </c>
      <c r="J344" s="426">
        <f ca="1">IFERROR(__xludf.DUMMYFUNCTION("IMPORTRANGE(""https://docs.google.com/spreadsheets/d/1awYsYK3VOup2i3Pq_Yjnu8DRu_mYwSBnCR2QPthd0rU/edit?usp=sharing"",""ศูนย์ยกเว้นโฉนด!D63"")"),351)</f>
        <v>351</v>
      </c>
      <c r="K344" s="427">
        <f ca="1">IF(I344&gt;0,J344*100/I344,0)</f>
        <v>53.18181818181818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IFERROR(__xludf.DUMMYFUNCTION("IMPORTRANGE(""https://docs.google.com/spreadsheets/d/1eHaY18a8A9IcSdp1K8H6x8fbOy06t2VsZHhMHf-1x7Y/edit?usp=sharing"",""แผน!EL63"")"),2)</f>
        <v>2</v>
      </c>
      <c r="J346" s="426">
        <f ca="1">IFERROR(__xludf.DUMMYFUNCTION("IMPORTRANGE(""https://docs.google.com/spreadsheets/d/1awYsYK3VOup2i3Pq_Yjnu8DRu_mYwSBnCR2QPthd0rU/edit?usp=sharing"",""ศูนย์รวม!E63"")"),1)</f>
        <v>1</v>
      </c>
      <c r="K346" s="427">
        <f ca="1">IF(I346&gt;0,J346*100/I346,0)</f>
        <v>50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IFERROR(__xludf.DUMMYFUNCTION("IMPORTRANGE(""https://docs.google.com/spreadsheets/d/1awYsYK3VOup2i3Pq_Yjnu8DRu_mYwSBnCR2QPthd0rU/edit?usp=sharing"",""ศูนย์ยกเว้นโฉนด!G63"")"),2)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712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IFERROR(__xludf.DUMMYFUNCTION("IMPORTRANGE(""https://docs.google.com/spreadsheets/d/1awYsYK3VOup2i3Pq_Yjnu8DRu_mYwSBnCR2QPthd0rU/edit?usp=sharing"",""โฉนดM3!G63"")"),64)</f>
        <v>64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IFERROR(__xludf.DUMMYFUNCTION("IMPORTRANGE(""https://docs.google.com/spreadsheets/d/1awYsYK3VOup2i3Pq_Yjnu8DRu_mYwSBnCR2QPthd0rU/edit?usp=sharing"",""โฉนดM3!H63"")"),648)</f>
        <v>648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618525</v>
      </c>
      <c r="M356" s="715">
        <f ca="1">M357+M358</f>
        <v>465725</v>
      </c>
      <c r="N356" s="715">
        <f ca="1">N357+N358</f>
        <v>153250</v>
      </c>
      <c r="O356" s="715">
        <f t="shared" ref="O356:O364" ca="1" si="48">IF(L356&gt;0,N356*100/L356,0)</f>
        <v>24.77668647184835</v>
      </c>
      <c r="P356" s="715">
        <f t="shared" ref="P356:P364" ca="1" si="49">IF(M356&gt;0,N356*100/M356,0)</f>
        <v>32.905684685168289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618525</v>
      </c>
      <c r="M358" s="427">
        <f t="shared" ca="1" si="50"/>
        <v>465725</v>
      </c>
      <c r="N358" s="427">
        <f t="shared" ca="1" si="50"/>
        <v>153250</v>
      </c>
      <c r="O358" s="427">
        <f t="shared" ca="1" si="48"/>
        <v>24.77668647184835</v>
      </c>
      <c r="P358" s="427">
        <f t="shared" ca="1" si="49"/>
        <v>32.905684685168289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618525</v>
      </c>
      <c r="M359" s="427">
        <f ca="1">M360+M361</f>
        <v>465725</v>
      </c>
      <c r="N359" s="427">
        <f ca="1">N360+N361</f>
        <v>153250</v>
      </c>
      <c r="O359" s="427">
        <f t="shared" ca="1" si="48"/>
        <v>24.77668647184835</v>
      </c>
      <c r="P359" s="427">
        <f t="shared" ca="1" si="49"/>
        <v>32.905684685168289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IFERROR(__xludf.DUMMYFUNCTION("IMPORTRANGE(""https://docs.google.com/spreadsheets/d/1-uDff_7J0KD5mKrp0Vvzr7lt3OU09vwQwhkpOPPYv2Y/edit?usp=sharing"",""งบพรบ!FC63"")"),618525)</f>
        <v>618525</v>
      </c>
      <c r="M361" s="427">
        <f ca="1">IFERROR(__xludf.DUMMYFUNCTION("IMPORTRANGE(""https://docs.google.com/spreadsheets/d/1-uDff_7J0KD5mKrp0Vvzr7lt3OU09vwQwhkpOPPYv2Y/edit?usp=sharing"",""งบพรบ!FH63"")"),465725)</f>
        <v>465725</v>
      </c>
      <c r="N361" s="427">
        <f ca="1">IFERROR(__xludf.DUMMYFUNCTION("IMPORTRANGE(""https://docs.google.com/spreadsheets/d/1-uDff_7J0KD5mKrp0Vvzr7lt3OU09vwQwhkpOPPYv2Y/edit?usp=sharing"",""งบพรบ!FJ63"")"),153250)</f>
        <v>153250</v>
      </c>
      <c r="O361" s="427">
        <f t="shared" ca="1" si="48"/>
        <v>24.77668647184835</v>
      </c>
      <c r="P361" s="427">
        <f t="shared" ca="1" si="49"/>
        <v>32.905684685168289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IFERROR(__xludf.DUMMYFUNCTION("IMPORTRANGE(""https://docs.google.com/spreadsheets/d/1-uDff_7J0KD5mKrp0Vvzr7lt3OU09vwQwhkpOPPYv2Y/edit?usp=sharing"",""งบพรบ!FF63"")"),0)</f>
        <v>0</v>
      </c>
      <c r="M364" s="427">
        <f ca="1">IFERROR(__xludf.DUMMYFUNCTION("IMPORTRANGE(""https://docs.google.com/spreadsheets/d/1-uDff_7J0KD5mKrp0Vvzr7lt3OU09vwQwhkpOPPYv2Y/edit?usp=sharing"",""งบพรบ!FI63"")"),0)</f>
        <v>0</v>
      </c>
      <c r="N364" s="427">
        <f ca="1">IFERROR(__xludf.DUMMYFUNCTION("IMPORTRANGE(""https://docs.google.com/spreadsheets/d/1-uDff_7J0KD5mKrp0Vvzr7lt3OU09vwQwhkpOPPYv2Y/edit?usp=sharing"",""งบพรบ!FK63"")"),0)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60</v>
      </c>
      <c r="J365" s="440">
        <f ca="1">J371</f>
        <v>2</v>
      </c>
      <c r="K365" s="441">
        <f ca="1">IF(I365&gt;0,J365*100/I365,0)</f>
        <v>3.3333333333333335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IFERROR(__xludf.DUMMYFUNCTION("IMPORTRANGE(""https://docs.google.com/spreadsheets/d/1tdoBKaGub7dwA3U6UFTqxio9LNnvDCQjHKmttSEBsFQ/edit?usp=sharing"",""จัดที่ดิน!AB63"")"),3)</f>
        <v>3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IFERROR(__xludf.DUMMYFUNCTION("IMPORTRANGE(""https://docs.google.com/spreadsheets/d/1eHaY18a8A9IcSdp1K8H6x8fbOy06t2VsZHhMHf-1x7Y/edit?usp=sharing"",""แผน!EW63"")"),585)</f>
        <v>585</v>
      </c>
      <c r="J368" s="704">
        <f ca="1">IFERROR(__xludf.DUMMYFUNCTION("IMPORTRANGE(""https://docs.google.com/spreadsheets/d/1tdoBKaGub7dwA3U6UFTqxio9LNnvDCQjHKmttSEBsFQ/edit?usp=sharing"",""จัดที่ดิน!AC63"")"),64.46)</f>
        <v>64.459999999999994</v>
      </c>
      <c r="K368" s="427">
        <f t="shared" ca="1" si="51"/>
        <v>11.018803418803417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IFERROR(__xludf.DUMMYFUNCTION("IMPORTRANGE(""https://docs.google.com/spreadsheets/d/1eHaY18a8A9IcSdp1K8H6x8fbOy06t2VsZHhMHf-1x7Y/edit?usp=sharing"",""แผน!EX63"")"),90)</f>
        <v>90</v>
      </c>
      <c r="J369" s="426">
        <f ca="1">IFERROR(__xludf.DUMMYFUNCTION("IMPORTRANGE(""https://docs.google.com/spreadsheets/d/1tdoBKaGub7dwA3U6UFTqxio9LNnvDCQjHKmttSEBsFQ/edit?usp=sharing"",""จัดที่ดิน!AD63"")"),0)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IFERROR(__xludf.DUMMYFUNCTION("IMPORTRANGE(""https://docs.google.com/spreadsheets/d/1tdoBKaGub7dwA3U6UFTqxio9LNnvDCQjHKmttSEBsFQ/edit?usp=sharing"",""จัดที่ดิน!AE63"")"),0)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IFERROR(__xludf.DUMMYFUNCTION("IMPORTRANGE(""https://docs.google.com/spreadsheets/d/1eHaY18a8A9IcSdp1K8H6x8fbOy06t2VsZHhMHf-1x7Y/edit?usp=sharing"",""แผน!EY63"")"),60)</f>
        <v>60</v>
      </c>
      <c r="J371" s="426">
        <f ca="1">IFERROR(__xludf.DUMMYFUNCTION("IMPORTRANGE(""https://docs.google.com/spreadsheets/d/1tdoBKaGub7dwA3U6UFTqxio9LNnvDCQjHKmttSEBsFQ/edit?usp=sharing"",""จัดที่ดิน!AF63"")"),2)</f>
        <v>2</v>
      </c>
      <c r="K371" s="427">
        <f t="shared" ca="1" si="51"/>
        <v>3.3333333333333335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IFERROR(__xludf.DUMMYFUNCTION("IMPORTRANGE(""https://docs.google.com/spreadsheets/d/1tdoBKaGub7dwA3U6UFTqxio9LNnvDCQjHKmttSEBsFQ/edit?usp=sharing"",""จัดที่ดิน!AG63"")"),8.78)</f>
        <v>8.7799999999999994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IFERROR(__xludf.DUMMYFUNCTION("IMPORTRANGE(""https://docs.google.com/spreadsheets/d/1-uDff_7J0KD5mKrp0Vvzr7lt3OU09vwQwhkpOPPYv2Y/edit?usp=sharing"",""งบพรบ!FM63"")"),0)</f>
        <v>0</v>
      </c>
      <c r="M382" s="502">
        <f ca="1">IFERROR(__xludf.DUMMYFUNCTION("IMPORTRANGE(""https://docs.google.com/spreadsheets/d/1-uDff_7J0KD5mKrp0Vvzr7lt3OU09vwQwhkpOPPYv2Y/edit?usp=sharing"",""งบพรบ!FR63"")"),0)</f>
        <v>0</v>
      </c>
      <c r="N382" s="502">
        <f ca="1">IFERROR(__xludf.DUMMYFUNCTION("IMPORTRANGE(""https://docs.google.com/spreadsheets/d/1-uDff_7J0KD5mKrp0Vvzr7lt3OU09vwQwhkpOPPYv2Y/edit?usp=sharing"",""งบพรบ!FT63"")"),0)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IFERROR(__xludf.DUMMYFUNCTION("IMPORTRANGE(""https://docs.google.com/spreadsheets/d/1-uDff_7J0KD5mKrp0Vvzr7lt3OU09vwQwhkpOPPYv2Y/edit?usp=sharing"",""งบพรบ!FP63"")"),0)</f>
        <v>0</v>
      </c>
      <c r="M385" s="502">
        <f ca="1">IFERROR(__xludf.DUMMYFUNCTION("IMPORTRANGE(""https://docs.google.com/spreadsheets/d/1-uDff_7J0KD5mKrp0Vvzr7lt3OU09vwQwhkpOPPYv2Y/edit?usp=sharing"",""งบพรบ!FS63"")"),0)</f>
        <v>0</v>
      </c>
      <c r="N385" s="502">
        <f ca="1">IFERROR(__xludf.DUMMYFUNCTION("IMPORTRANGE(""https://docs.google.com/spreadsheets/d/1-uDff_7J0KD5mKrp0Vvzr7lt3OU09vwQwhkpOPPYv2Y/edit?usp=sharing"",""งบพรบ!FU63"")"),0)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E70D-1EA2-438F-8A8E-3509D88199A9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1542645</v>
      </c>
      <c r="M18" s="843">
        <f ca="1">M19+M20</f>
        <v>1377620</v>
      </c>
      <c r="N18" s="843">
        <f ca="1">N19+N20</f>
        <v>571679.70000000007</v>
      </c>
      <c r="O18" s="843">
        <f t="shared" ref="O18:O26" ca="1" si="0">IF(L18&gt;0,N18*100/L18,0)</f>
        <v>37.058409420184169</v>
      </c>
      <c r="P18" s="843">
        <f t="shared" ref="P18:P26" ca="1" si="1">IF(M18&gt;0,N18*100/M18,0)</f>
        <v>41.49763359997678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1542645</v>
      </c>
      <c r="M20" s="947">
        <f t="shared" ca="1" si="2"/>
        <v>1377620</v>
      </c>
      <c r="N20" s="947">
        <f t="shared" ca="1" si="2"/>
        <v>571679.70000000007</v>
      </c>
      <c r="O20" s="947">
        <f t="shared" ca="1" si="0"/>
        <v>37.058409420184169</v>
      </c>
      <c r="P20" s="947">
        <f t="shared" ca="1" si="1"/>
        <v>41.49763359997678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1542645</v>
      </c>
      <c r="M21" s="427">
        <f ca="1">M22+M23</f>
        <v>1377620</v>
      </c>
      <c r="N21" s="427">
        <f ca="1">N22+N23</f>
        <v>571679.70000000007</v>
      </c>
      <c r="O21" s="427">
        <f t="shared" ca="1" si="0"/>
        <v>37.058409420184169</v>
      </c>
      <c r="P21" s="427">
        <f t="shared" ca="1" si="1"/>
        <v>41.49763359997678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1542645</v>
      </c>
      <c r="M23" s="427">
        <f t="shared" ca="1" si="3"/>
        <v>1377620</v>
      </c>
      <c r="N23" s="427">
        <f t="shared" ca="1" si="3"/>
        <v>571679.70000000007</v>
      </c>
      <c r="O23" s="427">
        <f t="shared" ca="1" si="0"/>
        <v>37.058409420184169</v>
      </c>
      <c r="P23" s="427">
        <f t="shared" ca="1" si="1"/>
        <v>41.49763359997678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1542645</v>
      </c>
      <c r="M40" s="940">
        <f ca="1">M44+M59+M72+M94+M125+M139+M157+M173+M186+M266+M282+M303+M320+M333+M356</f>
        <v>1377620</v>
      </c>
      <c r="N40" s="940">
        <f ca="1">N44+N59+N72+N94+N125+N139+N157+N173+N186+N266+N282+N303+N320+N333+N356</f>
        <v>571679.70000000007</v>
      </c>
      <c r="O40" s="940">
        <f ca="1">IF(L40&gt;0,N40*100/L40,0)</f>
        <v>37.058409420184169</v>
      </c>
      <c r="P40" s="940">
        <f ca="1">IF(M40&gt;0,N40*100/M40,0)</f>
        <v>41.49763359997678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211100</v>
      </c>
      <c r="M44" s="925">
        <f ca="1">M45+M46</f>
        <v>215600</v>
      </c>
      <c r="N44" s="925">
        <f ca="1">N45+N46</f>
        <v>117000</v>
      </c>
      <c r="O44" s="925">
        <f t="shared" ref="O44:O52" ca="1" si="5">IF(L44&gt;0,N44*100/L44,0)</f>
        <v>55.423969682614874</v>
      </c>
      <c r="P44" s="925">
        <f t="shared" ref="P44:P52" ca="1" si="6">IF(M44&gt;0,N44*100/M44,0)</f>
        <v>54.267161410018552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211100</v>
      </c>
      <c r="M46" s="917">
        <f t="shared" ca="1" si="7"/>
        <v>215600</v>
      </c>
      <c r="N46" s="917">
        <f t="shared" ca="1" si="7"/>
        <v>117000</v>
      </c>
      <c r="O46" s="917">
        <f t="shared" ca="1" si="5"/>
        <v>55.423969682614874</v>
      </c>
      <c r="P46" s="917">
        <f t="shared" ca="1" si="6"/>
        <v>54.267161410018552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211100</v>
      </c>
      <c r="M47" s="427">
        <f ca="1">M48+M49</f>
        <v>215600</v>
      </c>
      <c r="N47" s="427">
        <f ca="1">N48+N49</f>
        <v>117000</v>
      </c>
      <c r="O47" s="427">
        <f t="shared" ca="1" si="5"/>
        <v>55.423969682614874</v>
      </c>
      <c r="P47" s="427">
        <f t="shared" ca="1" si="6"/>
        <v>54.267161410018552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IFERROR(__xludf.DUMMYFUNCTION("IMPORTRANGE(""https://docs.google.com/spreadsheets/d/1-uDff_7J0KD5mKrp0Vvzr7lt3OU09vwQwhkpOPPYv2Y/edit?usp=sharing"",""งบพรบ!P64"")"),211100)</f>
        <v>211100</v>
      </c>
      <c r="M49" s="427">
        <f ca="1">IFERROR(__xludf.DUMMYFUNCTION("IMPORTRANGE(""https://docs.google.com/spreadsheets/d/1-uDff_7J0KD5mKrp0Vvzr7lt3OU09vwQwhkpOPPYv2Y/edit?usp=sharing"",""งบพรบ!V64"")"),215600)</f>
        <v>215600</v>
      </c>
      <c r="N49" s="427">
        <f ca="1">IFERROR(__xludf.DUMMYFUNCTION("IMPORTRANGE(""https://docs.google.com/spreadsheets/d/1-uDff_7J0KD5mKrp0Vvzr7lt3OU09vwQwhkpOPPYv2Y/edit?usp=sharing"",""งบพรบ!Y64"")"),117000)</f>
        <v>117000</v>
      </c>
      <c r="O49" s="427">
        <f t="shared" ca="1" si="5"/>
        <v>55.423969682614874</v>
      </c>
      <c r="P49" s="427">
        <f t="shared" ca="1" si="6"/>
        <v>54.267161410018552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IFERROR(__xludf.DUMMYFUNCTION("IMPORTRANGE(""https://docs.google.com/spreadsheets/d/1-uDff_7J0KD5mKrp0Vvzr7lt3OU09vwQwhkpOPPYv2Y/edit?usp=sharing"",""งบพรบ!S64"")"),0)</f>
        <v>0</v>
      </c>
      <c r="M52" s="427">
        <f ca="1">IFERROR(__xludf.DUMMYFUNCTION("IMPORTRANGE(""https://docs.google.com/spreadsheets/d/1-uDff_7J0KD5mKrp0Vvzr7lt3OU09vwQwhkpOPPYv2Y/edit?usp=sharing"",""งบพรบ!W64"")"),0)</f>
        <v>0</v>
      </c>
      <c r="N52" s="427">
        <f ca="1">IFERROR(__xludf.DUMMYFUNCTION("IMPORTRANGE(""https://docs.google.com/spreadsheets/d/1-uDff_7J0KD5mKrp0Vvzr7lt3OU09vwQwhkpOPPYv2Y/edit?usp=sharing"",""งบพรบ!Z64"")"),0)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246200</v>
      </c>
      <c r="M59" s="899">
        <f ca="1">M60+M61</f>
        <v>186700</v>
      </c>
      <c r="N59" s="899">
        <f ca="1">N60+N61</f>
        <v>95790.65</v>
      </c>
      <c r="O59" s="899">
        <f t="shared" ref="O59:O67" ca="1" si="8">IF(L59&gt;0,N59*100/L59,0)</f>
        <v>38.907656376929324</v>
      </c>
      <c r="P59" s="899">
        <f t="shared" ref="P59:P67" ca="1" si="9">IF(M59&gt;0,N59*100/M59,0)</f>
        <v>51.307257632565616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246200</v>
      </c>
      <c r="M61" s="891">
        <f t="shared" ca="1" si="10"/>
        <v>186700</v>
      </c>
      <c r="N61" s="891">
        <f t="shared" ca="1" si="10"/>
        <v>95790.65</v>
      </c>
      <c r="O61" s="891">
        <f t="shared" ca="1" si="8"/>
        <v>38.907656376929324</v>
      </c>
      <c r="P61" s="891">
        <f t="shared" ca="1" si="9"/>
        <v>51.307257632565616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246200</v>
      </c>
      <c r="M62" s="427">
        <f ca="1">M63+M64</f>
        <v>186700</v>
      </c>
      <c r="N62" s="427">
        <f ca="1">N63+N64</f>
        <v>95790.65</v>
      </c>
      <c r="O62" s="427">
        <f t="shared" ca="1" si="8"/>
        <v>38.907656376929324</v>
      </c>
      <c r="P62" s="427">
        <f t="shared" ca="1" si="9"/>
        <v>51.307257632565616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IFERROR(__xludf.DUMMYFUNCTION("IMPORTRANGE(""https://docs.google.com/spreadsheets/d/1-uDff_7J0KD5mKrp0Vvzr7lt3OU09vwQwhkpOPPYv2Y/edit?usp=sharing"",""งบพรบ!AC64"")"),246200)</f>
        <v>246200</v>
      </c>
      <c r="M64" s="427">
        <f ca="1">IFERROR(__xludf.DUMMYFUNCTION("IMPORTRANGE(""https://docs.google.com/spreadsheets/d/1-uDff_7J0KD5mKrp0Vvzr7lt3OU09vwQwhkpOPPYv2Y/edit?usp=sharing"",""งบพรบ!AH64"")"),186700)</f>
        <v>186700</v>
      </c>
      <c r="N64" s="427">
        <f ca="1">IFERROR(__xludf.DUMMYFUNCTION("IMPORTRANGE(""https://docs.google.com/spreadsheets/d/1-uDff_7J0KD5mKrp0Vvzr7lt3OU09vwQwhkpOPPYv2Y/edit?usp=sharing"",""งบพรบ!AJ64"")"),95790.65)</f>
        <v>95790.65</v>
      </c>
      <c r="O64" s="427">
        <f t="shared" ca="1" si="8"/>
        <v>38.907656376929324</v>
      </c>
      <c r="P64" s="427">
        <f t="shared" ca="1" si="9"/>
        <v>51.307257632565616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IFERROR(__xludf.DUMMYFUNCTION("IMPORTRANGE(""https://docs.google.com/spreadsheets/d/1-uDff_7J0KD5mKrp0Vvzr7lt3OU09vwQwhkpOPPYv2Y/edit?usp=sharing"",""งบพรบ!AF64"")"),0)</f>
        <v>0</v>
      </c>
      <c r="M67" s="624">
        <f ca="1">IFERROR(__xludf.DUMMYFUNCTION("IMPORTRANGE(""https://docs.google.com/spreadsheets/d/1-uDff_7J0KD5mKrp0Vvzr7lt3OU09vwQwhkpOPPYv2Y/edit?usp=sharing"",""งบพรบ!AI64"")"),0)</f>
        <v>0</v>
      </c>
      <c r="N67" s="624">
        <f ca="1">IFERROR(__xludf.DUMMYFUNCTION("IMPORTRANGE(""https://docs.google.com/spreadsheets/d/1-uDff_7J0KD5mKrp0Vvzr7lt3OU09vwQwhkpOPPYv2Y/edit?usp=sharing"",""งบพรบ!AK64"")"),0)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IFERROR(__xludf.DUMMYFUNCTION("IMPORTRANGE(""https://docs.google.com/spreadsheets/d/1-uDff_7J0KD5mKrp0Vvzr7lt3OU09vwQwhkpOPPYv2Y/edit?usp=sharing"",""งบพรบ!AM64"")"),0)</f>
        <v>0</v>
      </c>
      <c r="M77" s="427">
        <f ca="1">IFERROR(__xludf.DUMMYFUNCTION("IMPORTRANGE(""https://docs.google.com/spreadsheets/d/1-uDff_7J0KD5mKrp0Vvzr7lt3OU09vwQwhkpOPPYv2Y/edit?usp=sharing"",""งบพรบ!AR64"")"),0)</f>
        <v>0</v>
      </c>
      <c r="N77" s="427">
        <f ca="1">IFERROR(__xludf.DUMMYFUNCTION("IMPORTRANGE(""https://docs.google.com/spreadsheets/d/1-uDff_7J0KD5mKrp0Vvzr7lt3OU09vwQwhkpOPPYv2Y/edit?usp=sharing"",""งบพรบ!AT64"")"),0)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IFERROR(__xludf.DUMMYFUNCTION("IMPORTRANGE(""https://docs.google.com/spreadsheets/d/1-uDff_7J0KD5mKrp0Vvzr7lt3OU09vwQwhkpOPPYv2Y/edit?usp=sharing"",""งบพรบ!AP64"")"),0)</f>
        <v>0</v>
      </c>
      <c r="M80" s="427">
        <f ca="1">IFERROR(__xludf.DUMMYFUNCTION("IMPORTRANGE(""https://docs.google.com/spreadsheets/d/1-uDff_7J0KD5mKrp0Vvzr7lt3OU09vwQwhkpOPPYv2Y/edit?usp=sharing"",""งบพรบ!AS64"")"),0)</f>
        <v>0</v>
      </c>
      <c r="N80" s="427">
        <f ca="1">IFERROR(__xludf.DUMMYFUNCTION("IMPORTRANGE(""https://docs.google.com/spreadsheets/d/1-uDff_7J0KD5mKrp0Vvzr7lt3OU09vwQwhkpOPPYv2Y/edit?usp=sharing"",""งบพรบ!AU64"")"),0)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IFERROR(__xludf.DUMMYFUNCTION("IMPORTRANGE(""https://docs.google.com/spreadsheets/d/1eHaY18a8A9IcSdp1K8H6x8fbOy06t2VsZHhMHf-1x7Y/edit?usp=sharing"",""แผน!H64"")"),0)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IFERROR(__xludf.DUMMYFUNCTION("IMPORTRANGE(""https://docs.google.com/spreadsheets/d/1eHaY18a8A9IcSdp1K8H6x8fbOy06t2VsZHhMHf-1x7Y/edit?usp=sharing"",""แผน!I64"")"),0)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IFERROR(__xludf.DUMMYFUNCTION("IMPORTRANGE(""https://docs.google.com/spreadsheets/d/1eHaY18a8A9IcSdp1K8H6x8fbOy06t2VsZHhMHf-1x7Y/edit?usp=sharing"",""แผน!F64"")"),0)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IFERROR(__xludf.DUMMYFUNCTION("IMPORTRANGE(""https://docs.google.com/spreadsheets/d/1eHaY18a8A9IcSdp1K8H6x8fbOy06t2VsZHhMHf-1x7Y/edit?usp=sharing"",""แผน!G64"")"),0)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IFERROR(__xludf.DUMMYFUNCTION("IMPORTRANGE(""https://docs.google.com/spreadsheets/d/1eHaY18a8A9IcSdp1K8H6x8fbOy06t2VsZHhMHf-1x7Y/edit?usp=sharing"",""แผน!D64"")"),0)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IFERROR(__xludf.DUMMYFUNCTION("IMPORTRANGE(""https://docs.google.com/spreadsheets/d/1eHaY18a8A9IcSdp1K8H6x8fbOy06t2VsZHhMHf-1x7Y/edit?usp=sharing"",""แผน!E64"")"),0)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IFERROR(__xludf.DUMMYFUNCTION("IMPORTRANGE(""https://docs.google.com/spreadsheets/d/1eHaY18a8A9IcSdp1K8H6x8fbOy06t2VsZHhMHf-1x7Y/edit?usp=sharing"",""แผน!J64"")"),0)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IFERROR(__xludf.DUMMYFUNCTION("IMPORTRANGE(""https://docs.google.com/spreadsheets/d/1-uDff_7J0KD5mKrp0Vvzr7lt3OU09vwQwhkpOPPYv2Y/edit?usp=sharing"",""งบพรบ!AW64"")"),0)</f>
        <v>0</v>
      </c>
      <c r="M99" s="427">
        <f ca="1">IFERROR(__xludf.DUMMYFUNCTION("IMPORTRANGE(""https://docs.google.com/spreadsheets/d/1-uDff_7J0KD5mKrp0Vvzr7lt3OU09vwQwhkpOPPYv2Y/edit?usp=sharing"",""งบพรบ!BB64"")"),0)</f>
        <v>0</v>
      </c>
      <c r="N99" s="427">
        <f ca="1">IFERROR(__xludf.DUMMYFUNCTION("IMPORTRANGE(""https://docs.google.com/spreadsheets/d/1-uDff_7J0KD5mKrp0Vvzr7lt3OU09vwQwhkpOPPYv2Y/edit?usp=sharing"",""งบพรบ!BD64"")"),0)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IFERROR(__xludf.DUMMYFUNCTION("IMPORTRANGE(""https://docs.google.com/spreadsheets/d/1-uDff_7J0KD5mKrp0Vvzr7lt3OU09vwQwhkpOPPYv2Y/edit?usp=sharing"",""งบพรบ!AZ64"")"),0)</f>
        <v>0</v>
      </c>
      <c r="M102" s="427">
        <f ca="1">IFERROR(__xludf.DUMMYFUNCTION("IMPORTRANGE(""https://docs.google.com/spreadsheets/d/1-uDff_7J0KD5mKrp0Vvzr7lt3OU09vwQwhkpOPPYv2Y/edit?usp=sharing"",""งบพรบ!BC64"")"),0)</f>
        <v>0</v>
      </c>
      <c r="N102" s="427">
        <f ca="1">IFERROR(__xludf.DUMMYFUNCTION("IMPORTRANGE(""https://docs.google.com/spreadsheets/d/1-uDff_7J0KD5mKrp0Vvzr7lt3OU09vwQwhkpOPPYv2Y/edit?usp=sharing"",""งบพรบ!BE64"")"),0)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IFERROR(__xludf.DUMMYFUNCTION("IMPORTRANGE(""https://docs.google.com/spreadsheets/d/1eHaY18a8A9IcSdp1K8H6x8fbOy06t2VsZHhMHf-1x7Y/edit?usp=sharing"",""แผน!N64"")"),0)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IFERROR(__xludf.DUMMYFUNCTION("IMPORTRANGE(""https://docs.google.com/spreadsheets/d/1eHaY18a8A9IcSdp1K8H6x8fbOy06t2VsZHhMHf-1x7Y/edit?usp=sharing"",""แผน!O64"")"),0)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IFERROR(__xludf.DUMMYFUNCTION("IMPORTRANGE(""https://docs.google.com/spreadsheets/d/1eHaY18a8A9IcSdp1K8H6x8fbOy06t2VsZHhMHf-1x7Y/edit?usp=sharing"",""แผน!R64"")"),0)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IFERROR(__xludf.DUMMYFUNCTION("IMPORTRANGE(""https://docs.google.com/spreadsheets/d/1-uDff_7J0KD5mKrp0Vvzr7lt3OU09vwQwhkpOPPYv2Y/edit?usp=sharing"",""งบพรบ!BG64"")"),0)</f>
        <v>0</v>
      </c>
      <c r="M130" s="864">
        <f ca="1">IFERROR(__xludf.DUMMYFUNCTION("IMPORTRANGE(""https://docs.google.com/spreadsheets/d/1-uDff_7J0KD5mKrp0Vvzr7lt3OU09vwQwhkpOPPYv2Y/edit?usp=sharing"",""งบพรบ!BL64"")"),0)</f>
        <v>0</v>
      </c>
      <c r="N130" s="864">
        <f ca="1">IFERROR(__xludf.DUMMYFUNCTION("IMPORTRANGE(""https://docs.google.com/spreadsheets/d/1-uDff_7J0KD5mKrp0Vvzr7lt3OU09vwQwhkpOPPYv2Y/edit?usp=sharing"",""งบพรบ!BN64"")"),0)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IFERROR(__xludf.DUMMYFUNCTION("IMPORTRANGE(""https://docs.google.com/spreadsheets/d/1-uDff_7J0KD5mKrp0Vvzr7lt3OU09vwQwhkpOPPYv2Y/edit?usp=sharing"",""งบพรบ!BJ64"")"),0)</f>
        <v>0</v>
      </c>
      <c r="M133" s="864">
        <f ca="1">IFERROR(__xludf.DUMMYFUNCTION("IMPORTRANGE(""https://docs.google.com/spreadsheets/d/1-uDff_7J0KD5mKrp0Vvzr7lt3OU09vwQwhkpOPPYv2Y/edit?usp=sharing"",""งบพรบ!BM64"")"),0)</f>
        <v>0</v>
      </c>
      <c r="N133" s="864">
        <f ca="1">IFERROR(__xludf.DUMMYFUNCTION("IMPORTRANGE(""https://docs.google.com/spreadsheets/d/1-uDff_7J0KD5mKrp0Vvzr7lt3OU09vwQwhkpOPPYv2Y/edit?usp=sharing"",""งบพรบ!BO64"")"),0)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IFERROR(__xludf.DUMMYFUNCTION("IMPORTRANGE(""https://docs.google.com/spreadsheets/d/1-uDff_7J0KD5mKrp0Vvzr7lt3OU09vwQwhkpOPPYv2Y/edit?usp=sharing"",""งบพรบ!BQ64"")"),0)</f>
        <v>0</v>
      </c>
      <c r="M144" s="427">
        <f ca="1">IFERROR(__xludf.DUMMYFUNCTION("IMPORTRANGE(""https://docs.google.com/spreadsheets/d/1-uDff_7J0KD5mKrp0Vvzr7lt3OU09vwQwhkpOPPYv2Y/edit?usp=sharing"",""งบพรบ!BV64"")"),0)</f>
        <v>0</v>
      </c>
      <c r="N144" s="427">
        <f ca="1">IFERROR(__xludf.DUMMYFUNCTION("IMPORTRANGE(""https://docs.google.com/spreadsheets/d/1-uDff_7J0KD5mKrp0Vvzr7lt3OU09vwQwhkpOPPYv2Y/edit?usp=sharing"",""งบพรบ!BX64"")"),0)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IFERROR(__xludf.DUMMYFUNCTION("IMPORTRANGE(""https://docs.google.com/spreadsheets/d/1-uDff_7J0KD5mKrp0Vvzr7lt3OU09vwQwhkpOPPYv2Y/edit?usp=sharing"",""งบพรบ!BT64"")"),0)</f>
        <v>0</v>
      </c>
      <c r="M147" s="427">
        <f ca="1">IFERROR(__xludf.DUMMYFUNCTION("IMPORTRANGE(""https://docs.google.com/spreadsheets/d/1-uDff_7J0KD5mKrp0Vvzr7lt3OU09vwQwhkpOPPYv2Y/edit?usp=sharing"",""งบพรบ!BW64"")"),0)</f>
        <v>0</v>
      </c>
      <c r="N147" s="427">
        <f ca="1">IFERROR(__xludf.DUMMYFUNCTION("IMPORTRANGE(""https://docs.google.com/spreadsheets/d/1-uDff_7J0KD5mKrp0Vvzr7lt3OU09vwQwhkpOPPYv2Y/edit?usp=sharing"",""งบพรบ!BY64"")"),0)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IFERROR(__xludf.DUMMYFUNCTION("IMPORTRANGE(""https://docs.google.com/spreadsheets/d/1eHaY18a8A9IcSdp1K8H6x8fbOy06t2VsZHhMHf-1x7Y/edit?usp=sharing"",""แผน!U64"")"),0)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IFERROR(__xludf.DUMMYFUNCTION("IMPORTRANGE(""https://docs.google.com/spreadsheets/d/1eHaY18a8A9IcSdp1K8H6x8fbOy06t2VsZHhMHf-1x7Y/edit?usp=sharing"",""แผน!V64"")"),0)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IFERROR(__xludf.DUMMYFUNCTION("IMPORTRANGE(""https://docs.google.com/spreadsheets/d/1eHaY18a8A9IcSdp1K8H6x8fbOy06t2VsZHhMHf-1x7Y/edit?usp=sharing"",""แผน!W64"")"),0)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IFERROR(__xludf.DUMMYFUNCTION("IMPORTRANGE(""https://docs.google.com/spreadsheets/d/1eHaY18a8A9IcSdp1K8H6x8fbOy06t2VsZHhMHf-1x7Y/edit?usp=sharing"",""แผน!X64"")"),0)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IFERROR(__xludf.DUMMYFUNCTION("IMPORTRANGE(""https://docs.google.com/spreadsheets/d/1eHaY18a8A9IcSdp1K8H6x8fbOy06t2VsZHhMHf-1x7Y/edit?usp=sharing"",""แผน!Y64"")"),0)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IFERROR(__xludf.DUMMYFUNCTION("IMPORTRANGE(""https://docs.google.com/spreadsheets/d/1-uDff_7J0KD5mKrp0Vvzr7lt3OU09vwQwhkpOPPYv2Y/edit?usp=sharing"",""งบพรบ!CA64"")"),3000)</f>
        <v>3000</v>
      </c>
      <c r="M162" s="427">
        <f ca="1">IFERROR(__xludf.DUMMYFUNCTION("IMPORTRANGE(""https://docs.google.com/spreadsheets/d/1-uDff_7J0KD5mKrp0Vvzr7lt3OU09vwQwhkpOPPYv2Y/edit?usp=sharing"",""งบพรบ!CF64"")"),0)</f>
        <v>0</v>
      </c>
      <c r="N162" s="427">
        <f ca="1">IFERROR(__xludf.DUMMYFUNCTION("IMPORTRANGE(""https://docs.google.com/spreadsheets/d/1-uDff_7J0KD5mKrp0Vvzr7lt3OU09vwQwhkpOPPYv2Y/edit?usp=sharing"",""งบพรบ!CH64"")"),0)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IFERROR(__xludf.DUMMYFUNCTION("IMPORTRANGE(""https://docs.google.com/spreadsheets/d/1-uDff_7J0KD5mKrp0Vvzr7lt3OU09vwQwhkpOPPYv2Y/edit?usp=sharing"",""งบพรบ!CD64"")"),0)</f>
        <v>0</v>
      </c>
      <c r="M165" s="427">
        <f ca="1">IFERROR(__xludf.DUMMYFUNCTION("IMPORTRANGE(""https://docs.google.com/spreadsheets/d/1-uDff_7J0KD5mKrp0Vvzr7lt3OU09vwQwhkpOPPYv2Y/edit?usp=sharing"",""งบพรบ!CG64"")"),0)</f>
        <v>0</v>
      </c>
      <c r="N165" s="427">
        <f ca="1">IFERROR(__xludf.DUMMYFUNCTION("IMPORTRANGE(""https://docs.google.com/spreadsheets/d/1-uDff_7J0KD5mKrp0Vvzr7lt3OU09vwQwhkpOPPYv2Y/edit?usp=sharing"",""งบพรบ!CI64"")"),0)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IFERROR(__xludf.DUMMYFUNCTION("IMPORTRANGE(""https://docs.google.com/spreadsheets/d/1eHaY18a8A9IcSdp1K8H6x8fbOy06t2VsZHhMHf-1x7Y/edit?usp=sharing"",""แผน!Z64"")"),10)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1530</v>
      </c>
      <c r="O173" s="715">
        <f t="shared" ref="O173:O181" ca="1" si="27">IF(L173&gt;0,N173*100/L173,0)</f>
        <v>7.8101071975497707</v>
      </c>
      <c r="P173" s="715">
        <f t="shared" ref="P173:P181" ca="1" si="28">IF(M173&gt;0,N173*100/M173,0)</f>
        <v>7.8101071975497707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1530</v>
      </c>
      <c r="O175" s="427">
        <f t="shared" ca="1" si="27"/>
        <v>7.8101071975497707</v>
      </c>
      <c r="P175" s="427">
        <f t="shared" ca="1" si="28"/>
        <v>7.8101071975497707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1530</v>
      </c>
      <c r="O176" s="427">
        <f t="shared" ca="1" si="27"/>
        <v>7.8101071975497707</v>
      </c>
      <c r="P176" s="427">
        <f t="shared" ca="1" si="28"/>
        <v>7.8101071975497707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IFERROR(__xludf.DUMMYFUNCTION("IMPORTRANGE(""https://docs.google.com/spreadsheets/d/1-uDff_7J0KD5mKrp0Vvzr7lt3OU09vwQwhkpOPPYv2Y/edit?usp=sharing"",""งบพรบ!CK64"")"),19590)</f>
        <v>19590</v>
      </c>
      <c r="M178" s="427">
        <f ca="1">IFERROR(__xludf.DUMMYFUNCTION("IMPORTRANGE(""https://docs.google.com/spreadsheets/d/1-uDff_7J0KD5mKrp0Vvzr7lt3OU09vwQwhkpOPPYv2Y/edit?usp=sharing"",""งบพรบ!CP64"")"),19590)</f>
        <v>19590</v>
      </c>
      <c r="N178" s="427">
        <f ca="1">IFERROR(__xludf.DUMMYFUNCTION("IMPORTRANGE(""https://docs.google.com/spreadsheets/d/1-uDff_7J0KD5mKrp0Vvzr7lt3OU09vwQwhkpOPPYv2Y/edit?usp=sharing"",""งบพรบ!CR64"")"),1530)</f>
        <v>1530</v>
      </c>
      <c r="O178" s="427">
        <f t="shared" ca="1" si="27"/>
        <v>7.8101071975497707</v>
      </c>
      <c r="P178" s="427">
        <f t="shared" ca="1" si="28"/>
        <v>7.8101071975497707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IFERROR(__xludf.DUMMYFUNCTION("IMPORTRANGE(""https://docs.google.com/spreadsheets/d/1-uDff_7J0KD5mKrp0Vvzr7lt3OU09vwQwhkpOPPYv2Y/edit?usp=sharing"",""งบพรบ!CN64"")"),0)</f>
        <v>0</v>
      </c>
      <c r="M181" s="427">
        <f ca="1">IFERROR(__xludf.DUMMYFUNCTION("IMPORTRANGE(""https://docs.google.com/spreadsheets/d/1-uDff_7J0KD5mKrp0Vvzr7lt3OU09vwQwhkpOPPYv2Y/edit?usp=sharing"",""งบพรบ!CQ64"")"),0)</f>
        <v>0</v>
      </c>
      <c r="N181" s="427">
        <f ca="1">IFERROR(__xludf.DUMMYFUNCTION("IMPORTRANGE(""https://docs.google.com/spreadsheets/d/1-uDff_7J0KD5mKrp0Vvzr7lt3OU09vwQwhkpOPPYv2Y/edit?usp=sharing"",""งบพรบ!CS64"")"),0)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IFERROR(__xludf.DUMMYFUNCTION("IMPORTRANGE(""https://docs.google.com/spreadsheets/d/1eHaY18a8A9IcSdp1K8H6x8fbOy06t2VsZHhMHf-1x7Y/edit?usp=sharing"",""แผน!AA64"")"),7)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40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513700</v>
      </c>
      <c r="M186" s="715">
        <f ca="1">M187+M188</f>
        <v>546925</v>
      </c>
      <c r="N186" s="715">
        <f ca="1">N187+N188</f>
        <v>250277.76000000001</v>
      </c>
      <c r="O186" s="715">
        <f t="shared" ref="O186:O194" ca="1" si="30">IF(L186&gt;0,N186*100/L186,0)</f>
        <v>48.720607358380377</v>
      </c>
      <c r="P186" s="715">
        <f t="shared" ref="P186:P194" ca="1" si="31">IF(M186&gt;0,N186*100/M186,0)</f>
        <v>45.760892261278968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513700</v>
      </c>
      <c r="M188" s="427">
        <f t="shared" ca="1" si="32"/>
        <v>546925</v>
      </c>
      <c r="N188" s="427">
        <f t="shared" ca="1" si="32"/>
        <v>250277.76000000001</v>
      </c>
      <c r="O188" s="427">
        <f t="shared" ca="1" si="30"/>
        <v>48.720607358380377</v>
      </c>
      <c r="P188" s="427">
        <f t="shared" ca="1" si="31"/>
        <v>45.760892261278968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513700</v>
      </c>
      <c r="M189" s="427">
        <f ca="1">M190+M191</f>
        <v>546925</v>
      </c>
      <c r="N189" s="427">
        <f ca="1">N190+N191</f>
        <v>250277.76000000001</v>
      </c>
      <c r="O189" s="427">
        <f t="shared" ca="1" si="30"/>
        <v>48.720607358380377</v>
      </c>
      <c r="P189" s="427">
        <f t="shared" ca="1" si="31"/>
        <v>45.760892261278968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IFERROR(__xludf.DUMMYFUNCTION("IMPORTRANGE(""https://docs.google.com/spreadsheets/d/1-uDff_7J0KD5mKrp0Vvzr7lt3OU09vwQwhkpOPPYv2Y/edit?usp=sharing"",""งบพรบ!CU64"")"),513700)</f>
        <v>513700</v>
      </c>
      <c r="M191" s="427">
        <f ca="1">IFERROR(__xludf.DUMMYFUNCTION("IMPORTRANGE(""https://docs.google.com/spreadsheets/d/1-uDff_7J0KD5mKrp0Vvzr7lt3OU09vwQwhkpOPPYv2Y/edit?usp=sharing"",""งบพรบ!CZ64"")"),546925)</f>
        <v>546925</v>
      </c>
      <c r="N191" s="427">
        <f ca="1">IFERROR(__xludf.DUMMYFUNCTION("IMPORTRANGE(""https://docs.google.com/spreadsheets/d/1-uDff_7J0KD5mKrp0Vvzr7lt3OU09vwQwhkpOPPYv2Y/edit?usp=sharing"",""งบพรบ!DB64"")"),250277.76)</f>
        <v>250277.76000000001</v>
      </c>
      <c r="O191" s="427">
        <f t="shared" ca="1" si="30"/>
        <v>48.720607358380377</v>
      </c>
      <c r="P191" s="427">
        <f t="shared" ca="1" si="31"/>
        <v>45.760892261278968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IFERROR(__xludf.DUMMYFUNCTION("IMPORTRANGE(""https://docs.google.com/spreadsheets/d/1-uDff_7J0KD5mKrp0Vvzr7lt3OU09vwQwhkpOPPYv2Y/edit?usp=sharing"",""งบพรบ!CX64"")"),0)</f>
        <v>0</v>
      </c>
      <c r="M194" s="427">
        <f ca="1">IFERROR(__xludf.DUMMYFUNCTION("IMPORTRANGE(""https://docs.google.com/spreadsheets/d/1-uDff_7J0KD5mKrp0Vvzr7lt3OU09vwQwhkpOPPYv2Y/edit?usp=sharing"",""งบพรบ!DA64"")"),0)</f>
        <v>0</v>
      </c>
      <c r="N194" s="427">
        <f ca="1">IFERROR(__xludf.DUMMYFUNCTION("IMPORTRANGE(""https://docs.google.com/spreadsheets/d/1-uDff_7J0KD5mKrp0Vvzr7lt3OU09vwQwhkpOPPYv2Y/edit?usp=sharing"",""งบพรบ!DC64"")"),0)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IFERROR(__xludf.DUMMYFUNCTION("IMPORTRANGE(""https://docs.google.com/spreadsheets/d/1eHaY18a8A9IcSdp1K8H6x8fbOy06t2VsZHhMHf-1x7Y/edit?usp=sharing"",""แผน!AB64"")"),6000)</f>
        <v>6000</v>
      </c>
      <c r="M196" s="430"/>
      <c r="N196" s="827">
        <v>1360</v>
      </c>
      <c r="O196" s="715">
        <f ca="1">IF(L196&gt;0,N196*100/L196,0)</f>
        <v>22.666666666666668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IFERROR(__xludf.DUMMYFUNCTION("IMPORTRANGE(""https://docs.google.com/spreadsheets/d/1eHaY18a8A9IcSdp1K8H6x8fbOy06t2VsZHhMHf-1x7Y/edit?usp=sharing"",""แผน!AE64"")"),4)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26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26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26000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IFERROR(__xludf.DUMMYFUNCTION("IMPORTRANGE(""https://docs.google.com/spreadsheets/d/1eHaY18a8A9IcSdp1K8H6x8fbOy06t2VsZHhMHf-1x7Y/edit?usp=sharing"",""แผน!AG64"")"),2000)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IFERROR(__xludf.DUMMYFUNCTION("IMPORTRANGE(""https://docs.google.com/spreadsheets/d/1eHaY18a8A9IcSdp1K8H6x8fbOy06t2VsZHhMHf-1x7Y/edit?usp=sharing"",""แผน!AH64"")"),0)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IFERROR(__xludf.DUMMYFUNCTION("IMPORTRANGE(""https://docs.google.com/spreadsheets/d/1eHaY18a8A9IcSdp1K8H6x8fbOy06t2VsZHhMHf-1x7Y/edit?usp=sharing"",""แผน!AI64"")"),16000)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IFERROR(__xludf.DUMMYFUNCTION("IMPORTRANGE(""https://docs.google.com/spreadsheets/d/1eHaY18a8A9IcSdp1K8H6x8fbOy06t2VsZHhMHf-1x7Y/edit?usp=sharing"",""แผน!AJ64"")"),8000)</f>
        <v>8000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IFERROR(__xludf.DUMMYFUNCTION("IMPORTRANGE(""https://docs.google.com/spreadsheets/d/1eHaY18a8A9IcSdp1K8H6x8fbOy06t2VsZHhMHf-1x7Y/edit?usp=sharing"",""แผน!AK64"")"),2)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IFERROR(__xludf.DUMMYFUNCTION("IMPORTRANGE(""https://docs.google.com/spreadsheets/d/1eHaY18a8A9IcSdp1K8H6x8fbOy06t2VsZHhMHf-1x7Y/edit?usp=sharing"",""แผน!JX64"")"),2)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IFERROR(__xludf.DUMMYFUNCTION("IMPORTRANGE(""https://docs.google.com/spreadsheets/d/1eHaY18a8A9IcSdp1K8H6x8fbOy06t2VsZHhMHf-1x7Y/edit?usp=sharing"",""แผน!JY64"")"),0)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IFERROR(__xludf.DUMMYFUNCTION("IMPORTRANGE(""https://docs.google.com/spreadsheets/d/1eHaY18a8A9IcSdp1K8H6x8fbOy06t2VsZHhMHf-1x7Y/edit?usp=sharing"",""แผน!AM64"")"),0)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IFERROR(__xludf.DUMMYFUNCTION("IMPORTRANGE(""https://docs.google.com/spreadsheets/d/1eHaY18a8A9IcSdp1K8H6x8fbOy06t2VsZHhMHf-1x7Y/edit?usp=sharing"",""แผน!AN64"")"),0)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IFERROR(__xludf.DUMMYFUNCTION("IMPORTRANGE(""https://docs.google.com/spreadsheets/d/1eHaY18a8A9IcSdp1K8H6x8fbOy06t2VsZHhMHf-1x7Y/edit?usp=sharing"",""แผน!AO64"")"),0)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IFERROR(__xludf.DUMMYFUNCTION("IMPORTRANGE(""https://docs.google.com/spreadsheets/d/1eHaY18a8A9IcSdp1K8H6x8fbOy06t2VsZHhMHf-1x7Y/edit?usp=sharing"",""แผน!AP64"")"),0)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IFERROR(__xludf.DUMMYFUNCTION("IMPORTRANGE(""https://docs.google.com/spreadsheets/d/1eHaY18a8A9IcSdp1K8H6x8fbOy06t2VsZHhMHf-1x7Y/edit?usp=sharing"",""แผน!AP64"")"),0)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IFERROR(__xludf.DUMMYFUNCTION("IMPORTRANGE(""https://docs.google.com/spreadsheets/d/1eHaY18a8A9IcSdp1K8H6x8fbOy06t2VsZHhMHf-1x7Y/edit?usp=sharing"",""แผน!AR64"")"),3000)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IFERROR(__xludf.DUMMYFUNCTION("IMPORTRANGE(""https://docs.google.com/spreadsheets/d/1eHaY18a8A9IcSdp1K8H6x8fbOy06t2VsZHhMHf-1x7Y/edit?usp=sharing"",""แผน!AS64"")"),1500)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IFERROR(__xludf.DUMMYFUNCTION("IMPORTRANGE(""https://docs.google.com/spreadsheets/d/1eHaY18a8A9IcSdp1K8H6x8fbOy06t2VsZHhMHf-1x7Y/edit?usp=sharing"",""แผน!AT64"")"),0)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IFERROR(__xludf.DUMMYFUNCTION("IMPORTRANGE(""https://docs.google.com/spreadsheets/d/1eHaY18a8A9IcSdp1K8H6x8fbOy06t2VsZHhMHf-1x7Y/edit?usp=sharing"",""แผน!AV64"")"),20000)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IFERROR(__xludf.DUMMYFUNCTION("IMPORTRANGE(""https://docs.google.com/spreadsheets/d/1eHaY18a8A9IcSdp1K8H6x8fbOy06t2VsZHhMHf-1x7Y/edit?usp=sharing"",""แผน!AV64"")"),20000)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IFERROR(__xludf.DUMMYFUNCTION("IMPORTRANGE(""https://docs.google.com/spreadsheets/d/1eHaY18a8A9IcSdp1K8H6x8fbOy06t2VsZHhMHf-1x7Y/edit?usp=sharing"",""แผน!AU64"")"),0)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597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40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6"/>
      <c r="C232" s="51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213600</v>
      </c>
      <c r="M232" s="501"/>
      <c r="N232" s="525">
        <f>N243+N254</f>
        <v>29910</v>
      </c>
      <c r="O232" s="501"/>
      <c r="P232" s="501"/>
    </row>
    <row r="233" spans="1:16" ht="18.75" hidden="1" x14ac:dyDescent="0.25">
      <c r="A233" s="521"/>
      <c r="B233" s="509"/>
      <c r="C233" s="506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99000</v>
      </c>
      <c r="M233" s="501"/>
      <c r="N233" s="502">
        <f>N244+N255</f>
        <v>28500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3000</v>
      </c>
      <c r="M234" s="501"/>
      <c r="N234" s="502">
        <f>N245+N256</f>
        <v>1410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78600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33000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513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83" t="s">
        <v>33</v>
      </c>
      <c r="I238" s="201">
        <f ca="1">I249+I260</f>
        <v>40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513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83" t="s">
        <v>33</v>
      </c>
      <c r="I240" s="201">
        <f ca="1">I251+I262</f>
        <v>40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83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283" t="s">
        <v>253</v>
      </c>
      <c r="D242" s="284"/>
      <c r="E242" s="284"/>
      <c r="F242" s="284"/>
      <c r="G242" s="285"/>
      <c r="H242" s="286" t="s">
        <v>33</v>
      </c>
      <c r="I242" s="287">
        <f ca="1">I249</f>
        <v>40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213600</v>
      </c>
      <c r="M243" s="58"/>
      <c r="N243" s="161">
        <f>N244+N245+N246+N247</f>
        <v>29910</v>
      </c>
      <c r="O243" s="161">
        <f ca="1">IF(L243&gt;0,N243*100/L243,0)</f>
        <v>14.002808988764045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IFERROR(__xludf.DUMMYFUNCTION("IMPORTRANGE(""https://docs.google.com/spreadsheets/d/1eHaY18a8A9IcSdp1K8H6x8fbOy06t2VsZHhMHf-1x7Y/edit?usp=sharing"",""แผน!AX64"")"),99000)</f>
        <v>99000</v>
      </c>
      <c r="M244" s="58"/>
      <c r="N244" s="600">
        <v>28500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IFERROR(__xludf.DUMMYFUNCTION("IMPORTRANGE(""https://docs.google.com/spreadsheets/d/1eHaY18a8A9IcSdp1K8H6x8fbOy06t2VsZHhMHf-1x7Y/edit?usp=sharing"",""แผน!AY64"")"),3000)</f>
        <v>3000</v>
      </c>
      <c r="M245" s="58"/>
      <c r="N245" s="600">
        <v>1410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IFERROR(__xludf.DUMMYFUNCTION("IMPORTRANGE(""https://docs.google.com/spreadsheets/d/1eHaY18a8A9IcSdp1K8H6x8fbOy06t2VsZHhMHf-1x7Y/edit?usp=sharing"",""แผน!AZ64"")"),78600)</f>
        <v>78600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IFERROR(__xludf.DUMMYFUNCTION("IMPORTRANGE(""https://docs.google.com/spreadsheets/d/1eHaY18a8A9IcSdp1K8H6x8fbOy06t2VsZHhMHf-1x7Y/edit?usp=sharing"",""แผน!BA64"")"),33000)</f>
        <v>33000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IFERROR(__xludf.DUMMYFUNCTION("IMPORTRANGE(""https://docs.google.com/spreadsheets/d/1eHaY18a8A9IcSdp1K8H6x8fbOy06t2VsZHhMHf-1x7Y/edit?usp=sharing"",""แผน!BG64"")"),40)</f>
        <v>40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1077" t="s">
        <v>252</v>
      </c>
      <c r="F251" s="1076"/>
      <c r="G251" s="1075"/>
      <c r="H251" s="1074" t="s">
        <v>33</v>
      </c>
      <c r="I251" s="196">
        <f ca="1">IFERROR(__xludf.DUMMYFUNCTION("IMPORTRANGE(""https://docs.google.com/spreadsheets/d/1eHaY18a8A9IcSdp1K8H6x8fbOy06t2VsZHhMHf-1x7Y/edit?usp=sharing"",""แผน!KB64"")"),40)</f>
        <v>40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706" t="s">
        <v>251</v>
      </c>
      <c r="F252" s="422"/>
      <c r="G252" s="680"/>
      <c r="H252" s="705" t="s">
        <v>33</v>
      </c>
      <c r="I252" s="196">
        <f ca="1">IFERROR(__xludf.DUMMYFUNCTION("IMPORTRANGE(""https://docs.google.com/spreadsheets/d/1eHaY18a8A9IcSdp1K8H6x8fbOy06t2VsZHhMHf-1x7Y/edit?usp=sharing"",""แผน!KC64"")"),1)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IFERROR(__xludf.DUMMYFUNCTION("IMPORTRANGE(""https://docs.google.com/spreadsheets/d/1eHaY18a8A9IcSdp1K8H6x8fbOy06t2VsZHhMHf-1x7Y/edit?usp=sharing"",""แผน!BB64"")"),0)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IFERROR(__xludf.DUMMYFUNCTION("IMPORTRANGE(""https://docs.google.com/spreadsheets/d/1eHaY18a8A9IcSdp1K8H6x8fbOy06t2VsZHhMHf-1x7Y/edit?usp=sharing"",""แผน!BC64"")"),0)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IFERROR(__xludf.DUMMYFUNCTION("IMPORTRANGE(""https://docs.google.com/spreadsheets/d/1eHaY18a8A9IcSdp1K8H6x8fbOy06t2VsZHhMHf-1x7Y/edit?usp=sharing"",""แผน!BD64"")"),0)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IFERROR(__xludf.DUMMYFUNCTION("IMPORTRANGE(""https://docs.google.com/spreadsheets/d/1eHaY18a8A9IcSdp1K8H6x8fbOy06t2VsZHhMHf-1x7Y/edit?usp=sharing"",""แผน!BE64"")"),0)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IFERROR(__xludf.DUMMYFUNCTION("IMPORTRANGE(""https://docs.google.com/spreadsheets/d/1eHaY18a8A9IcSdp1K8H6x8fbOy06t2VsZHhMHf-1x7Y/edit?usp=sharing"",""แผน!BH64"")"),0)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IFERROR(__xludf.DUMMYFUNCTION("IMPORTRANGE(""https://docs.google.com/spreadsheets/d/1-uDff_7J0KD5mKrp0Vvzr7lt3OU09vwQwhkpOPPYv2Y/edit?usp=sharing"",""งบพรบ!DE64"")"),0)</f>
        <v>0</v>
      </c>
      <c r="M271" s="502">
        <f ca="1">IFERROR(__xludf.DUMMYFUNCTION("IMPORTRANGE(""https://docs.google.com/spreadsheets/d/1-uDff_7J0KD5mKrp0Vvzr7lt3OU09vwQwhkpOPPYv2Y/edit?usp=sharing"",""งบพรบ!DJ64"")"),0)</f>
        <v>0</v>
      </c>
      <c r="N271" s="502">
        <f ca="1">IFERROR(__xludf.DUMMYFUNCTION("IMPORTRANGE(""https://docs.google.com/spreadsheets/d/1-uDff_7J0KD5mKrp0Vvzr7lt3OU09vwQwhkpOPPYv2Y/edit?usp=sharing"",""งบพรบ!DL64"")"),0)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IFERROR(__xludf.DUMMYFUNCTION("IMPORTRANGE(""https://docs.google.com/spreadsheets/d/1-uDff_7J0KD5mKrp0Vvzr7lt3OU09vwQwhkpOPPYv2Y/edit?usp=sharing"",""งบพรบ!DH64"")"),0)</f>
        <v>0</v>
      </c>
      <c r="M274" s="502">
        <f ca="1">IFERROR(__xludf.DUMMYFUNCTION("IMPORTRANGE(""https://docs.google.com/spreadsheets/d/1-uDff_7J0KD5mKrp0Vvzr7lt3OU09vwQwhkpOPPYv2Y/edit?usp=sharing"",""งบพรบ!DK64"")"),0)</f>
        <v>0</v>
      </c>
      <c r="N274" s="502">
        <f ca="1">IFERROR(__xludf.DUMMYFUNCTION("IMPORTRANGE(""https://docs.google.com/spreadsheets/d/1-uDff_7J0KD5mKrp0Vvzr7lt3OU09vwQwhkpOPPYv2Y/edit?usp=sharing"",""งบพรบ!DM64"")"),0)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IFERROR(__xludf.DUMMYFUNCTION("IMPORTRANGE(""https://docs.google.com/spreadsheets/d/1-uDff_7J0KD5mKrp0Vvzr7lt3OU09vwQwhkpOPPYv2Y/edit?usp=sharing"",""งบพรบ!DO64"")"),0)</f>
        <v>0</v>
      </c>
      <c r="M287" s="427">
        <f ca="1">IFERROR(__xludf.DUMMYFUNCTION("IMPORTRANGE(""https://docs.google.com/spreadsheets/d/1-uDff_7J0KD5mKrp0Vvzr7lt3OU09vwQwhkpOPPYv2Y/edit?usp=sharing"",""งบพรบ!DT64"")"),0)</f>
        <v>0</v>
      </c>
      <c r="N287" s="427">
        <f ca="1">IFERROR(__xludf.DUMMYFUNCTION("IMPORTRANGE(""https://docs.google.com/spreadsheets/d/1-uDff_7J0KD5mKrp0Vvzr7lt3OU09vwQwhkpOPPYv2Y/edit?usp=sharing"",""งบพรบ!DV64"")"),0)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IFERROR(__xludf.DUMMYFUNCTION("IMPORTRANGE(""https://docs.google.com/spreadsheets/d/1-uDff_7J0KD5mKrp0Vvzr7lt3OU09vwQwhkpOPPYv2Y/edit?usp=sharing"",""งบพรบ!DR64"")"),0)</f>
        <v>0</v>
      </c>
      <c r="M290" s="427">
        <f ca="1">IFERROR(__xludf.DUMMYFUNCTION("IMPORTRANGE(""https://docs.google.com/spreadsheets/d/1-uDff_7J0KD5mKrp0Vvzr7lt3OU09vwQwhkpOPPYv2Y/edit?usp=sharing"",""งบพรบ!DU64"")"),0)</f>
        <v>0</v>
      </c>
      <c r="N290" s="427">
        <f ca="1">IFERROR(__xludf.DUMMYFUNCTION("IMPORTRANGE(""https://docs.google.com/spreadsheets/d/1-uDff_7J0KD5mKrp0Vvzr7lt3OU09vwQwhkpOPPYv2Y/edit?usp=sharing"",""งบพรบ!DW64"")"),0)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IFERROR(__xludf.DUMMYFUNCTION("IMPORTRANGE(""https://docs.google.com/spreadsheets/d/1eHaY18a8A9IcSdp1K8H6x8fbOy06t2VsZHhMHf-1x7Y/edit?usp=sharing"",""แผน!EE64"")"),0)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IFERROR(__xludf.DUMMYFUNCTION("IMPORTRANGE(""https://docs.google.com/spreadsheets/d/1eHaY18a8A9IcSdp1K8H6x8fbOy06t2VsZHhMHf-1x7Y/edit?usp=sharing"",""แผน!ED64"")"),0)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IFERROR(__xludf.DUMMYFUNCTION("IMPORTRANGE(""https://docs.google.com/spreadsheets/d/1eHaY18a8A9IcSdp1K8H6x8fbOy06t2VsZHhMHf-1x7Y/edit?usp=sharing"",""แผน!ED64"")"),0)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IFERROR(__xludf.DUMMYFUNCTION("IMPORTRANGE(""https://docs.google.com/spreadsheets/d/1eHaY18a8A9IcSdp1K8H6x8fbOy06t2VsZHhMHf-1x7Y/edit?usp=sharing"",""แผน!ED64"")"),0)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20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82400</v>
      </c>
      <c r="M303" s="715">
        <f ca="1">M304+M305</f>
        <v>64400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82400</v>
      </c>
      <c r="M305" s="427">
        <f t="shared" ca="1" si="41"/>
        <v>64400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82400</v>
      </c>
      <c r="M306" s="427">
        <f ca="1">M307+M308</f>
        <v>64400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IFERROR(__xludf.DUMMYFUNCTION("IMPORTRANGE(""https://docs.google.com/spreadsheets/d/1-uDff_7J0KD5mKrp0Vvzr7lt3OU09vwQwhkpOPPYv2Y/edit?usp=sharing"",""งบพรบ!DY64"")"),82400)</f>
        <v>82400</v>
      </c>
      <c r="M308" s="427">
        <f ca="1">IFERROR(__xludf.DUMMYFUNCTION("IMPORTRANGE(""https://docs.google.com/spreadsheets/d/1-uDff_7J0KD5mKrp0Vvzr7lt3OU09vwQwhkpOPPYv2Y/edit?usp=sharing"",""งบพรบ!ED64"")"),64400)</f>
        <v>64400</v>
      </c>
      <c r="N308" s="427">
        <f ca="1">IFERROR(__xludf.DUMMYFUNCTION("IMPORTRANGE(""https://docs.google.com/spreadsheets/d/1-uDff_7J0KD5mKrp0Vvzr7lt3OU09vwQwhkpOPPYv2Y/edit?usp=sharing"",""งบพรบ!EF64"")"),0)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IFERROR(__xludf.DUMMYFUNCTION("IMPORTRANGE(""https://docs.google.com/spreadsheets/d/1-uDff_7J0KD5mKrp0Vvzr7lt3OU09vwQwhkpOPPYv2Y/edit?usp=sharing"",""งบพรบ!EB64"")"),0)</f>
        <v>0</v>
      </c>
      <c r="M311" s="427">
        <f ca="1">IFERROR(__xludf.DUMMYFUNCTION("IMPORTRANGE(""https://docs.google.com/spreadsheets/d/1-uDff_7J0KD5mKrp0Vvzr7lt3OU09vwQwhkpOPPYv2Y/edit?usp=sharing"",""งบพรบ!EE64"")"),0)</f>
        <v>0</v>
      </c>
      <c r="N311" s="427">
        <f ca="1">IFERROR(__xludf.DUMMYFUNCTION("IMPORTRANGE(""https://docs.google.com/spreadsheets/d/1-uDff_7J0KD5mKrp0Vvzr7lt3OU09vwQwhkpOPPYv2Y/edit?usp=sharing"",""งบพรบ!EG64"")"),0)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IFERROR(__xludf.DUMMYFUNCTION("IMPORTRANGE(""https://docs.google.com/spreadsheets/d/1eHaY18a8A9IcSdp1K8H6x8fbOy06t2VsZHhMHf-1x7Y/edit?usp=sharing"",""แผน!EF64"")"),20)</f>
        <v>20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IFERROR(__xludf.DUMMYFUNCTION("IMPORTRANGE(""https://docs.google.com/spreadsheets/d/1eHaY18a8A9IcSdp1K8H6x8fbOy06t2VsZHhMHf-1x7Y/edit?usp=sharing"",""แผน!EG64"")"),4)</f>
        <v>4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IFERROR(__xludf.DUMMYFUNCTION("IMPORTRANGE(""https://docs.google.com/spreadsheets/d/1eHaY18a8A9IcSdp1K8H6x8fbOy06t2VsZHhMHf-1x7Y/edit?usp=sharing"",""แผน!EH64"")"),20)</f>
        <v>20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IFERROR(__xludf.DUMMYFUNCTION("IMPORTRANGE(""https://docs.google.com/spreadsheets/d/1eHaY18a8A9IcSdp1K8H6x8fbOy06t2VsZHhMHf-1x7Y/edit?usp=sharing"",""แผน!EI64"")"),4)</f>
        <v>4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IFERROR(__xludf.DUMMYFUNCTION("IMPORTRANGE(""https://docs.google.com/spreadsheets/d/1-uDff_7J0KD5mKrp0Vvzr7lt3OU09vwQwhkpOPPYv2Y/edit?usp=sharing"",""งบพรบ!EI64"")"),0)</f>
        <v>0</v>
      </c>
      <c r="M325" s="427">
        <f ca="1">IFERROR(__xludf.DUMMYFUNCTION("IMPORTRANGE(""https://docs.google.com/spreadsheets/d/1-uDff_7J0KD5mKrp0Vvzr7lt3OU09vwQwhkpOPPYv2Y/edit?usp=sharing"",""งบพรบ!EN64"")"),0)</f>
        <v>0</v>
      </c>
      <c r="N325" s="427">
        <f ca="1">IFERROR(__xludf.DUMMYFUNCTION("IMPORTRANGE(""https://docs.google.com/spreadsheets/d/1-uDff_7J0KD5mKrp0Vvzr7lt3OU09vwQwhkpOPPYv2Y/edit?usp=sharing"",""งบพรบ!EP64"")"),0)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IFERROR(__xludf.DUMMYFUNCTION("IMPORTRANGE(""https://docs.google.com/spreadsheets/d/1-uDff_7J0KD5mKrp0Vvzr7lt3OU09vwQwhkpOPPYv2Y/edit?usp=sharing"",""งบพรบ!EL64"")"),0)</f>
        <v>0</v>
      </c>
      <c r="M328" s="427">
        <f ca="1">IFERROR(__xludf.DUMMYFUNCTION("IMPORTRANGE(""https://docs.google.com/spreadsheets/d/1-uDff_7J0KD5mKrp0Vvzr7lt3OU09vwQwhkpOPPYv2Y/edit?usp=sharing"",""งบพรบ!EO64"")"),0)</f>
        <v>0</v>
      </c>
      <c r="N328" s="427">
        <f ca="1">IFERROR(__xludf.DUMMYFUNCTION("IMPORTRANGE(""https://docs.google.com/spreadsheets/d/1-uDff_7J0KD5mKrp0Vvzr7lt3OU09vwQwhkpOPPYv2Y/edit?usp=sharing"",""งบพรบ!EQ64"")"),0)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IFERROR(__xludf.DUMMYFUNCTION("IMPORTRANGE(""https://docs.google.com/spreadsheets/d/1eHaY18a8A9IcSdp1K8H6x8fbOy06t2VsZHhMHf-1x7Y/edit?usp=sharing"",""แผน!EJ64"")"),0)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540</v>
      </c>
      <c r="J332" s="404">
        <f ca="1">J344+J347+J348+J349+J353</f>
        <v>600</v>
      </c>
      <c r="K332" s="405">
        <f ca="1">IF(I332&gt;0,J332*100/I332,0)</f>
        <v>111.11111111111111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351600</v>
      </c>
      <c r="M333" s="715">
        <f ca="1">M334+M335</f>
        <v>255350</v>
      </c>
      <c r="N333" s="715">
        <f ca="1">N334+N335</f>
        <v>81920</v>
      </c>
      <c r="O333" s="715">
        <f t="shared" ref="O333:O341" ca="1" si="45">IF(L333&gt;0,N333*100/L333,0)</f>
        <v>23.299203640500568</v>
      </c>
      <c r="P333" s="715">
        <f t="shared" ref="P333:P341" ca="1" si="46">IF(M333&gt;0,N333*100/M333,0)</f>
        <v>32.081456823967102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351600</v>
      </c>
      <c r="M335" s="427">
        <f t="shared" ca="1" si="47"/>
        <v>255350</v>
      </c>
      <c r="N335" s="427">
        <f t="shared" ca="1" si="47"/>
        <v>81920</v>
      </c>
      <c r="O335" s="427">
        <f t="shared" ca="1" si="45"/>
        <v>23.299203640500568</v>
      </c>
      <c r="P335" s="427">
        <f t="shared" ca="1" si="46"/>
        <v>32.081456823967102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351600</v>
      </c>
      <c r="M336" s="427">
        <f ca="1">M337+M338</f>
        <v>255350</v>
      </c>
      <c r="N336" s="427">
        <f ca="1">N337+N338</f>
        <v>81920</v>
      </c>
      <c r="O336" s="427">
        <f t="shared" ca="1" si="45"/>
        <v>23.299203640500568</v>
      </c>
      <c r="P336" s="427">
        <f t="shared" ca="1" si="46"/>
        <v>32.081456823967102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IFERROR(__xludf.DUMMYFUNCTION("IMPORTRANGE(""https://docs.google.com/spreadsheets/d/1-uDff_7J0KD5mKrp0Vvzr7lt3OU09vwQwhkpOPPYv2Y/edit?usp=sharing"",""งบพรบ!ES64"")"),351600)</f>
        <v>351600</v>
      </c>
      <c r="M338" s="427">
        <f ca="1">IFERROR(__xludf.DUMMYFUNCTION("IMPORTRANGE(""https://docs.google.com/spreadsheets/d/1-uDff_7J0KD5mKrp0Vvzr7lt3OU09vwQwhkpOPPYv2Y/edit?usp=sharing"",""งบพรบ!EX64"")"),255350)</f>
        <v>255350</v>
      </c>
      <c r="N338" s="427">
        <f ca="1">IFERROR(__xludf.DUMMYFUNCTION("IMPORTRANGE(""https://docs.google.com/spreadsheets/d/1-uDff_7J0KD5mKrp0Vvzr7lt3OU09vwQwhkpOPPYv2Y/edit?usp=sharing"",""งบพรบ!EZ64"")"),81920)</f>
        <v>81920</v>
      </c>
      <c r="O338" s="427">
        <f t="shared" ca="1" si="45"/>
        <v>23.299203640500568</v>
      </c>
      <c r="P338" s="427">
        <f t="shared" ca="1" si="46"/>
        <v>32.081456823967102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IFERROR(__xludf.DUMMYFUNCTION("IMPORTRANGE(""https://docs.google.com/spreadsheets/d/1-uDff_7J0KD5mKrp0Vvzr7lt3OU09vwQwhkpOPPYv2Y/edit?usp=sharing"",""งบพรบ!EV64"")"),0)</f>
        <v>0</v>
      </c>
      <c r="M341" s="427">
        <f ca="1">IFERROR(__xludf.DUMMYFUNCTION("IMPORTRANGE(""https://docs.google.com/spreadsheets/d/1-uDff_7J0KD5mKrp0Vvzr7lt3OU09vwQwhkpOPPYv2Y/edit?usp=sharing"",""งบพรบ!EY64"")"),0)</f>
        <v>0</v>
      </c>
      <c r="N341" s="427">
        <f ca="1">IFERROR(__xludf.DUMMYFUNCTION("IMPORTRANGE(""https://docs.google.com/spreadsheets/d/1-uDff_7J0KD5mKrp0Vvzr7lt3OU09vwQwhkpOPPYv2Y/edit?usp=sharing"",""งบพรบ!FA64"")"),0)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600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IFERROR(__xludf.DUMMYFUNCTION("IMPORTRANGE(""https://docs.google.com/spreadsheets/d/1eHaY18a8A9IcSdp1K8H6x8fbOy06t2VsZHhMHf-1x7Y/edit?usp=sharing"",""แผน!EK64"")"),540)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IFERROR(__xludf.DUMMYFUNCTION("IMPORTRANGE(""https://docs.google.com/spreadsheets/d/1awYsYK3VOup2i3Pq_Yjnu8DRu_mYwSBnCR2QPthd0rU/edit?usp=sharing"",""ศูนย์ยกเว้นโฉนด!D64"")"),588)</f>
        <v>588</v>
      </c>
      <c r="K344" s="427">
        <f ca="1">IF(I344&gt;0,J344*100/I344,0)</f>
        <v>108.88888888888889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IFERROR(__xludf.DUMMYFUNCTION("IMPORTRANGE(""https://docs.google.com/spreadsheets/d/1eHaY18a8A9IcSdp1K8H6x8fbOy06t2VsZHhMHf-1x7Y/edit?usp=sharing"",""แผน!EL64"")"),2)</f>
        <v>2</v>
      </c>
      <c r="J346" s="426">
        <f ca="1">IFERROR(__xludf.DUMMYFUNCTION("IMPORTRANGE(""https://docs.google.com/spreadsheets/d/1awYsYK3VOup2i3Pq_Yjnu8DRu_mYwSBnCR2QPthd0rU/edit?usp=sharing"",""ศูนย์รวม!E64"")"),0)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IFERROR(__xludf.DUMMYFUNCTION("IMPORTRANGE(""https://docs.google.com/spreadsheets/d/1awYsYK3VOup2i3Pq_Yjnu8DRu_mYwSBnCR2QPthd0rU/edit?usp=sharing"",""ศูนย์ยกเว้นโฉนด!F64"")"),0)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IFERROR(__xludf.DUMMYFUNCTION("IMPORTRANGE(""https://docs.google.com/spreadsheets/d/1awYsYK3VOup2i3Pq_Yjnu8DRu_mYwSBnCR2QPthd0rU/edit?usp=sharing"",""โฉนดM3!G64"")"),0)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IFERROR(__xludf.DUMMYFUNCTION("IMPORTRANGE(""https://docs.google.com/spreadsheets/d/1awYsYK3VOup2i3Pq_Yjnu8DRu_mYwSBnCR2QPthd0rU/edit?usp=sharing"",""โฉนดM3!H64"")"),0)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115055</v>
      </c>
      <c r="M356" s="715">
        <f ca="1">M357+M358</f>
        <v>89055</v>
      </c>
      <c r="N356" s="715">
        <f ca="1">N357+N358</f>
        <v>25161.29</v>
      </c>
      <c r="O356" s="715">
        <f t="shared" ref="O356:O364" ca="1" si="48">IF(L356&gt;0,N356*100/L356,0)</f>
        <v>21.868923558298206</v>
      </c>
      <c r="P356" s="715">
        <f t="shared" ref="P356:P364" ca="1" si="49">IF(M356&gt;0,N356*100/M356,0)</f>
        <v>28.253652237381395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115055</v>
      </c>
      <c r="M358" s="427">
        <f t="shared" ca="1" si="50"/>
        <v>89055</v>
      </c>
      <c r="N358" s="427">
        <f t="shared" ca="1" si="50"/>
        <v>25161.29</v>
      </c>
      <c r="O358" s="427">
        <f t="shared" ca="1" si="48"/>
        <v>21.868923558298206</v>
      </c>
      <c r="P358" s="427">
        <f t="shared" ca="1" si="49"/>
        <v>28.253652237381395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115055</v>
      </c>
      <c r="M359" s="427">
        <f ca="1">M360+M361</f>
        <v>89055</v>
      </c>
      <c r="N359" s="427">
        <f ca="1">N360+N361</f>
        <v>25161.29</v>
      </c>
      <c r="O359" s="427">
        <f t="shared" ca="1" si="48"/>
        <v>21.868923558298206</v>
      </c>
      <c r="P359" s="427">
        <f t="shared" ca="1" si="49"/>
        <v>28.253652237381395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IFERROR(__xludf.DUMMYFUNCTION("IMPORTRANGE(""https://docs.google.com/spreadsheets/d/1-uDff_7J0KD5mKrp0Vvzr7lt3OU09vwQwhkpOPPYv2Y/edit?usp=sharing"",""งบพรบ!FC64"")"),115055)</f>
        <v>115055</v>
      </c>
      <c r="M361" s="427">
        <f ca="1">IFERROR(__xludf.DUMMYFUNCTION("IMPORTRANGE(""https://docs.google.com/spreadsheets/d/1-uDff_7J0KD5mKrp0Vvzr7lt3OU09vwQwhkpOPPYv2Y/edit?usp=sharing"",""งบพรบ!FH64"")"),89055)</f>
        <v>89055</v>
      </c>
      <c r="N361" s="427">
        <f ca="1">IFERROR(__xludf.DUMMYFUNCTION("IMPORTRANGE(""https://docs.google.com/spreadsheets/d/1-uDff_7J0KD5mKrp0Vvzr7lt3OU09vwQwhkpOPPYv2Y/edit?usp=sharing"",""งบพรบ!FJ64"")"),25161.29)</f>
        <v>25161.29</v>
      </c>
      <c r="O361" s="427">
        <f t="shared" ca="1" si="48"/>
        <v>21.868923558298206</v>
      </c>
      <c r="P361" s="427">
        <f t="shared" ca="1" si="49"/>
        <v>28.253652237381395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IFERROR(__xludf.DUMMYFUNCTION("IMPORTRANGE(""https://docs.google.com/spreadsheets/d/1-uDff_7J0KD5mKrp0Vvzr7lt3OU09vwQwhkpOPPYv2Y/edit?usp=sharing"",""งบพรบ!FF64"")"),0)</f>
        <v>0</v>
      </c>
      <c r="M364" s="427">
        <f ca="1">IFERROR(__xludf.DUMMYFUNCTION("IMPORTRANGE(""https://docs.google.com/spreadsheets/d/1-uDff_7J0KD5mKrp0Vvzr7lt3OU09vwQwhkpOPPYv2Y/edit?usp=sharing"",""งบพรบ!FI64"")"),0)</f>
        <v>0</v>
      </c>
      <c r="N364" s="427">
        <f ca="1">IFERROR(__xludf.DUMMYFUNCTION("IMPORTRANGE(""https://docs.google.com/spreadsheets/d/1-uDff_7J0KD5mKrp0Vvzr7lt3OU09vwQwhkpOPPYv2Y/edit?usp=sharing"",""งบพรบ!FK64"")"),0)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IFERROR(__xludf.DUMMYFUNCTION("IMPORTRANGE(""https://docs.google.com/spreadsheets/d/1tdoBKaGub7dwA3U6UFTqxio9LNnvDCQjHKmttSEBsFQ/edit?usp=sharing"",""จัดที่ดิน!AB64"")"),0)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IFERROR(__xludf.DUMMYFUNCTION("IMPORTRANGE(""https://docs.google.com/spreadsheets/d/1eHaY18a8A9IcSdp1K8H6x8fbOy06t2VsZHhMHf-1x7Y/edit?usp=sharing"",""แผน!EW64"")"),0)</f>
        <v>0</v>
      </c>
      <c r="J368" s="704">
        <f ca="1">IFERROR(__xludf.DUMMYFUNCTION("IMPORTRANGE(""https://docs.google.com/spreadsheets/d/1tdoBKaGub7dwA3U6UFTqxio9LNnvDCQjHKmttSEBsFQ/edit?usp=sharing"",""จัดที่ดิน!AC64"")"),0)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IFERROR(__xludf.DUMMYFUNCTION("IMPORTRANGE(""https://docs.google.com/spreadsheets/d/1eHaY18a8A9IcSdp1K8H6x8fbOy06t2VsZHhMHf-1x7Y/edit?usp=sharing"",""แผน!EX64"")"),0)</f>
        <v>0</v>
      </c>
      <c r="J369" s="426">
        <f ca="1">IFERROR(__xludf.DUMMYFUNCTION("IMPORTRANGE(""https://docs.google.com/spreadsheets/d/1tdoBKaGub7dwA3U6UFTqxio9LNnvDCQjHKmttSEBsFQ/edit?usp=sharing"",""จัดที่ดิน!AD64"")"),0)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IFERROR(__xludf.DUMMYFUNCTION("IMPORTRANGE(""https://docs.google.com/spreadsheets/d/1tdoBKaGub7dwA3U6UFTqxio9LNnvDCQjHKmttSEBsFQ/edit?usp=sharing"",""จัดที่ดิน!AE64"")"),0)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IFERROR(__xludf.DUMMYFUNCTION("IMPORTRANGE(""https://docs.google.com/spreadsheets/d/1eHaY18a8A9IcSdp1K8H6x8fbOy06t2VsZHhMHf-1x7Y/edit?usp=sharing"",""แผน!EY64"")"),0)</f>
        <v>0</v>
      </c>
      <c r="J371" s="426">
        <f ca="1">IFERROR(__xludf.DUMMYFUNCTION("IMPORTRANGE(""https://docs.google.com/spreadsheets/d/1tdoBKaGub7dwA3U6UFTqxio9LNnvDCQjHKmttSEBsFQ/edit?usp=sharing"",""จัดที่ดิน!AF64"")"),0)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IFERROR(__xludf.DUMMYFUNCTION("IMPORTRANGE(""https://docs.google.com/spreadsheets/d/1tdoBKaGub7dwA3U6UFTqxio9LNnvDCQjHKmttSEBsFQ/edit?usp=sharing"",""จัดที่ดิน!AG64"")"),0)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IFERROR(__xludf.DUMMYFUNCTION("IMPORTRANGE(""https://docs.google.com/spreadsheets/d/1-uDff_7J0KD5mKrp0Vvzr7lt3OU09vwQwhkpOPPYv2Y/edit?usp=sharing"",""งบพรบ!FM64"")"),0)</f>
        <v>0</v>
      </c>
      <c r="M382" s="502">
        <f ca="1">IFERROR(__xludf.DUMMYFUNCTION("IMPORTRANGE(""https://docs.google.com/spreadsheets/d/1-uDff_7J0KD5mKrp0Vvzr7lt3OU09vwQwhkpOPPYv2Y/edit?usp=sharing"",""งบพรบ!FR64"")"),0)</f>
        <v>0</v>
      </c>
      <c r="N382" s="502">
        <f ca="1">IFERROR(__xludf.DUMMYFUNCTION("IMPORTRANGE(""https://docs.google.com/spreadsheets/d/1-uDff_7J0KD5mKrp0Vvzr7lt3OU09vwQwhkpOPPYv2Y/edit?usp=sharing"",""งบพรบ!FT64"")"),0)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IFERROR(__xludf.DUMMYFUNCTION("IMPORTRANGE(""https://docs.google.com/spreadsheets/d/1-uDff_7J0KD5mKrp0Vvzr7lt3OU09vwQwhkpOPPYv2Y/edit?usp=sharing"",""งบพรบ!FP64"")"),0)</f>
        <v>0</v>
      </c>
      <c r="M385" s="502">
        <f ca="1">IFERROR(__xludf.DUMMYFUNCTION("IMPORTRANGE(""https://docs.google.com/spreadsheets/d/1-uDff_7J0KD5mKrp0Vvzr7lt3OU09vwQwhkpOPPYv2Y/edit?usp=sharing"",""งบพรบ!FS64"")"),0)</f>
        <v>0</v>
      </c>
      <c r="N385" s="502">
        <f ca="1">IFERROR(__xludf.DUMMYFUNCTION("IMPORTRANGE(""https://docs.google.com/spreadsheets/d/1-uDff_7J0KD5mKrp0Vvzr7lt3OU09vwQwhkpOPPYv2Y/edit?usp=sharing"",""งบพรบ!FU64"")"),0)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7FC6A-CA7F-4C32-82B3-43077090160E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265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1329380</v>
      </c>
      <c r="M18" s="843">
        <f ca="1">M19+M20</f>
        <v>1069480</v>
      </c>
      <c r="N18" s="843">
        <f ca="1">N19+N20</f>
        <v>423817.35</v>
      </c>
      <c r="O18" s="843">
        <f t="shared" ref="O18:O26" ca="1" si="0">IF(L18&gt;0,N18*100/L18,0)</f>
        <v>31.880827904737547</v>
      </c>
      <c r="P18" s="843">
        <f t="shared" ref="P18:P26" ca="1" si="1">IF(M18&gt;0,N18*100/M18,0)</f>
        <v>39.628356771515129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1329380</v>
      </c>
      <c r="M20" s="947">
        <f t="shared" ca="1" si="2"/>
        <v>1069480</v>
      </c>
      <c r="N20" s="947">
        <f t="shared" ca="1" si="2"/>
        <v>423817.35</v>
      </c>
      <c r="O20" s="947">
        <f t="shared" ca="1" si="0"/>
        <v>31.880827904737547</v>
      </c>
      <c r="P20" s="947">
        <f t="shared" ca="1" si="1"/>
        <v>39.628356771515129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1329380</v>
      </c>
      <c r="M21" s="427">
        <f ca="1">M22+M23</f>
        <v>1069480</v>
      </c>
      <c r="N21" s="427">
        <f ca="1">N22+N23</f>
        <v>423817.35</v>
      </c>
      <c r="O21" s="427">
        <f t="shared" ca="1" si="0"/>
        <v>31.880827904737547</v>
      </c>
      <c r="P21" s="427">
        <f t="shared" ca="1" si="1"/>
        <v>39.628356771515129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1329380</v>
      </c>
      <c r="M23" s="427">
        <f t="shared" ca="1" si="3"/>
        <v>1069480</v>
      </c>
      <c r="N23" s="427">
        <f t="shared" ca="1" si="3"/>
        <v>423817.35</v>
      </c>
      <c r="O23" s="427">
        <f t="shared" ca="1" si="0"/>
        <v>31.880827904737547</v>
      </c>
      <c r="P23" s="427">
        <f t="shared" ca="1" si="1"/>
        <v>39.628356771515129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1329380</v>
      </c>
      <c r="M40" s="940">
        <f ca="1">M44+M59+M72+M94+M125+M139+M157+M173+M186+M266+M282+M303+M320+M333+M356</f>
        <v>1069480</v>
      </c>
      <c r="N40" s="940">
        <f ca="1">N44+N59+N72+N94+N125+N139+N157+N173+N186+N266+N282+N303+N320+N333+N356</f>
        <v>423817.35</v>
      </c>
      <c r="O40" s="940">
        <f ca="1">IF(L40&gt;0,N40*100/L40,0)</f>
        <v>31.880827904737547</v>
      </c>
      <c r="P40" s="940">
        <f ca="1">IF(M40&gt;0,N40*100/M40,0)</f>
        <v>39.628356771515129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239400</v>
      </c>
      <c r="M44" s="925">
        <f ca="1">M45+M46</f>
        <v>243900</v>
      </c>
      <c r="N44" s="925">
        <f ca="1">N45+N46</f>
        <v>75100</v>
      </c>
      <c r="O44" s="925">
        <f t="shared" ref="O44:O52" ca="1" si="5">IF(L44&gt;0,N44*100/L44,0)</f>
        <v>31.370091896407686</v>
      </c>
      <c r="P44" s="925">
        <f t="shared" ref="P44:P52" ca="1" si="6">IF(M44&gt;0,N44*100/M44,0)</f>
        <v>30.79130791307913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239400</v>
      </c>
      <c r="M46" s="917">
        <f t="shared" ca="1" si="7"/>
        <v>243900</v>
      </c>
      <c r="N46" s="917">
        <f t="shared" ca="1" si="7"/>
        <v>75100</v>
      </c>
      <c r="O46" s="917">
        <f t="shared" ca="1" si="5"/>
        <v>31.370091896407686</v>
      </c>
      <c r="P46" s="917">
        <f t="shared" ca="1" si="6"/>
        <v>30.79130791307913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239400</v>
      </c>
      <c r="M47" s="427">
        <f ca="1">M48+M49</f>
        <v>243900</v>
      </c>
      <c r="N47" s="427">
        <f ca="1">N48+N49</f>
        <v>75100</v>
      </c>
      <c r="O47" s="427">
        <f t="shared" ca="1" si="5"/>
        <v>31.370091896407686</v>
      </c>
      <c r="P47" s="427">
        <f t="shared" ca="1" si="6"/>
        <v>30.79130791307913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IFERROR(__xludf.DUMMYFUNCTION("IMPORTRANGE(""https://docs.google.com/spreadsheets/d/1-uDff_7J0KD5mKrp0Vvzr7lt3OU09vwQwhkpOPPYv2Y/edit?usp=sharing"",""งบพรบ!P65"")"),239400)</f>
        <v>239400</v>
      </c>
      <c r="M49" s="427">
        <f ca="1">IFERROR(__xludf.DUMMYFUNCTION("IMPORTRANGE(""https://docs.google.com/spreadsheets/d/1-uDff_7J0KD5mKrp0Vvzr7lt3OU09vwQwhkpOPPYv2Y/edit?usp=sharing"",""งบพรบ!V65"")"),243900)</f>
        <v>243900</v>
      </c>
      <c r="N49" s="427">
        <f ca="1">IFERROR(__xludf.DUMMYFUNCTION("IMPORTRANGE(""https://docs.google.com/spreadsheets/d/1-uDff_7J0KD5mKrp0Vvzr7lt3OU09vwQwhkpOPPYv2Y/edit?usp=sharing"",""งบพรบ!Y65"")"),75100)</f>
        <v>75100</v>
      </c>
      <c r="O49" s="427">
        <f t="shared" ca="1" si="5"/>
        <v>31.370091896407686</v>
      </c>
      <c r="P49" s="427">
        <f t="shared" ca="1" si="6"/>
        <v>30.79130791307913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IFERROR(__xludf.DUMMYFUNCTION("IMPORTRANGE(""https://docs.google.com/spreadsheets/d/1-uDff_7J0KD5mKrp0Vvzr7lt3OU09vwQwhkpOPPYv2Y/edit?usp=sharing"",""งบพรบ!S65"")"),0)</f>
        <v>0</v>
      </c>
      <c r="M52" s="427">
        <f ca="1">IFERROR(__xludf.DUMMYFUNCTION("IMPORTRANGE(""https://docs.google.com/spreadsheets/d/1-uDff_7J0KD5mKrp0Vvzr7lt3OU09vwQwhkpOPPYv2Y/edit?usp=sharing"",""งบพรบ!W65"")"),0)</f>
        <v>0</v>
      </c>
      <c r="N52" s="427">
        <f ca="1">IFERROR(__xludf.DUMMYFUNCTION("IMPORTRANGE(""https://docs.google.com/spreadsheets/d/1-uDff_7J0KD5mKrp0Vvzr7lt3OU09vwQwhkpOPPYv2Y/edit?usp=sharing"",""งบพรบ!Z65"")"),0)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465300</v>
      </c>
      <c r="M59" s="899">
        <f ca="1">M60+M61</f>
        <v>350850</v>
      </c>
      <c r="N59" s="899">
        <f ca="1">N60+N61</f>
        <v>228747.35</v>
      </c>
      <c r="O59" s="899">
        <f t="shared" ref="O59:O67" ca="1" si="8">IF(L59&gt;0,N59*100/L59,0)</f>
        <v>49.161261551687083</v>
      </c>
      <c r="P59" s="899">
        <f t="shared" ref="P59:P67" ca="1" si="9">IF(M59&gt;0,N59*100/M59,0)</f>
        <v>65.198047598688902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465300</v>
      </c>
      <c r="M61" s="891">
        <f t="shared" ca="1" si="10"/>
        <v>350850</v>
      </c>
      <c r="N61" s="891">
        <f t="shared" ca="1" si="10"/>
        <v>228747.35</v>
      </c>
      <c r="O61" s="891">
        <f t="shared" ca="1" si="8"/>
        <v>49.161261551687083</v>
      </c>
      <c r="P61" s="891">
        <f t="shared" ca="1" si="9"/>
        <v>65.198047598688902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465300</v>
      </c>
      <c r="M62" s="427">
        <f ca="1">M63+M64</f>
        <v>350850</v>
      </c>
      <c r="N62" s="427">
        <f ca="1">N63+N64</f>
        <v>228747.35</v>
      </c>
      <c r="O62" s="427">
        <f t="shared" ca="1" si="8"/>
        <v>49.161261551687083</v>
      </c>
      <c r="P62" s="427">
        <f t="shared" ca="1" si="9"/>
        <v>65.198047598688902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IFERROR(__xludf.DUMMYFUNCTION("IMPORTRANGE(""https://docs.google.com/spreadsheets/d/1-uDff_7J0KD5mKrp0Vvzr7lt3OU09vwQwhkpOPPYv2Y/edit?usp=sharing"",""งบพรบ!AC65"")"),465300)</f>
        <v>465300</v>
      </c>
      <c r="M64" s="427">
        <f ca="1">IFERROR(__xludf.DUMMYFUNCTION("IMPORTRANGE(""https://docs.google.com/spreadsheets/d/1-uDff_7J0KD5mKrp0Vvzr7lt3OU09vwQwhkpOPPYv2Y/edit?usp=sharing"",""งบพรบ!AH65"")"),350850)</f>
        <v>350850</v>
      </c>
      <c r="N64" s="427">
        <f ca="1">IFERROR(__xludf.DUMMYFUNCTION("IMPORTRANGE(""https://docs.google.com/spreadsheets/d/1-uDff_7J0KD5mKrp0Vvzr7lt3OU09vwQwhkpOPPYv2Y/edit?usp=sharing"",""งบพรบ!AJ65"")"),228747.35)</f>
        <v>228747.35</v>
      </c>
      <c r="O64" s="427">
        <f t="shared" ca="1" si="8"/>
        <v>49.161261551687083</v>
      </c>
      <c r="P64" s="427">
        <f t="shared" ca="1" si="9"/>
        <v>65.198047598688902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IFERROR(__xludf.DUMMYFUNCTION("IMPORTRANGE(""https://docs.google.com/spreadsheets/d/1-uDff_7J0KD5mKrp0Vvzr7lt3OU09vwQwhkpOPPYv2Y/edit?usp=sharing"",""งบพรบ!AF65"")"),0)</f>
        <v>0</v>
      </c>
      <c r="M67" s="624">
        <f ca="1">IFERROR(__xludf.DUMMYFUNCTION("IMPORTRANGE(""https://docs.google.com/spreadsheets/d/1-uDff_7J0KD5mKrp0Vvzr7lt3OU09vwQwhkpOPPYv2Y/edit?usp=sharing"",""งบพรบ!AI65"")"),0)</f>
        <v>0</v>
      </c>
      <c r="N67" s="624">
        <f ca="1">IFERROR(__xludf.DUMMYFUNCTION("IMPORTRANGE(""https://docs.google.com/spreadsheets/d/1-uDff_7J0KD5mKrp0Vvzr7lt3OU09vwQwhkpOPPYv2Y/edit?usp=sharing"",""งบพรบ!AK65"")"),0)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IFERROR(__xludf.DUMMYFUNCTION("IMPORTRANGE(""https://docs.google.com/spreadsheets/d/1-uDff_7J0KD5mKrp0Vvzr7lt3OU09vwQwhkpOPPYv2Y/edit?usp=sharing"",""งบพรบ!AM65"")"),0)</f>
        <v>0</v>
      </c>
      <c r="M77" s="427">
        <f ca="1">IFERROR(__xludf.DUMMYFUNCTION("IMPORTRANGE(""https://docs.google.com/spreadsheets/d/1-uDff_7J0KD5mKrp0Vvzr7lt3OU09vwQwhkpOPPYv2Y/edit?usp=sharing"",""งบพรบ!AR65"")"),0)</f>
        <v>0</v>
      </c>
      <c r="N77" s="427">
        <f ca="1">IFERROR(__xludf.DUMMYFUNCTION("IMPORTRANGE(""https://docs.google.com/spreadsheets/d/1-uDff_7J0KD5mKrp0Vvzr7lt3OU09vwQwhkpOPPYv2Y/edit?usp=sharing"",""งบพรบ!AT65"")"),0)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IFERROR(__xludf.DUMMYFUNCTION("IMPORTRANGE(""https://docs.google.com/spreadsheets/d/1-uDff_7J0KD5mKrp0Vvzr7lt3OU09vwQwhkpOPPYv2Y/edit?usp=sharing"",""งบพรบ!AP65"")"),0)</f>
        <v>0</v>
      </c>
      <c r="M80" s="427">
        <f ca="1">IFERROR(__xludf.DUMMYFUNCTION("IMPORTRANGE(""https://docs.google.com/spreadsheets/d/1-uDff_7J0KD5mKrp0Vvzr7lt3OU09vwQwhkpOPPYv2Y/edit?usp=sharing"",""งบพรบ!AS65"")"),0)</f>
        <v>0</v>
      </c>
      <c r="N80" s="427">
        <f ca="1">IFERROR(__xludf.DUMMYFUNCTION("IMPORTRANGE(""https://docs.google.com/spreadsheets/d/1-uDff_7J0KD5mKrp0Vvzr7lt3OU09vwQwhkpOPPYv2Y/edit?usp=sharing"",""งบพรบ!AU65"")"),0)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IFERROR(__xludf.DUMMYFUNCTION("IMPORTRANGE(""https://docs.google.com/spreadsheets/d/1eHaY18a8A9IcSdp1K8H6x8fbOy06t2VsZHhMHf-1x7Y/edit?usp=sharing"",""แผน!H65"")"),0)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IFERROR(__xludf.DUMMYFUNCTION("IMPORTRANGE(""https://docs.google.com/spreadsheets/d/1eHaY18a8A9IcSdp1K8H6x8fbOy06t2VsZHhMHf-1x7Y/edit?usp=sharing"",""แผน!I65"")"),0)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IFERROR(__xludf.DUMMYFUNCTION("IMPORTRANGE(""https://docs.google.com/spreadsheets/d/1eHaY18a8A9IcSdp1K8H6x8fbOy06t2VsZHhMHf-1x7Y/edit?usp=sharing"",""แผน!F65"")"),0)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IFERROR(__xludf.DUMMYFUNCTION("IMPORTRANGE(""https://docs.google.com/spreadsheets/d/1eHaY18a8A9IcSdp1K8H6x8fbOy06t2VsZHhMHf-1x7Y/edit?usp=sharing"",""แผน!G65"")"),0)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IFERROR(__xludf.DUMMYFUNCTION("IMPORTRANGE(""https://docs.google.com/spreadsheets/d/1eHaY18a8A9IcSdp1K8H6x8fbOy06t2VsZHhMHf-1x7Y/edit?usp=sharing"",""แผน!D65"")"),0)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IFERROR(__xludf.DUMMYFUNCTION("IMPORTRANGE(""https://docs.google.com/spreadsheets/d/1eHaY18a8A9IcSdp1K8H6x8fbOy06t2VsZHhMHf-1x7Y/edit?usp=sharing"",""แผน!E65"")"),0)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IFERROR(__xludf.DUMMYFUNCTION("IMPORTRANGE(""https://docs.google.com/spreadsheets/d/1eHaY18a8A9IcSdp1K8H6x8fbOy06t2VsZHhMHf-1x7Y/edit?usp=sharing"",""แผน!J65"")"),0)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IFERROR(__xludf.DUMMYFUNCTION("IMPORTRANGE(""https://docs.google.com/spreadsheets/d/1-uDff_7J0KD5mKrp0Vvzr7lt3OU09vwQwhkpOPPYv2Y/edit?usp=sharing"",""งบพรบ!AW65"")"),0)</f>
        <v>0</v>
      </c>
      <c r="M99" s="427">
        <f ca="1">IFERROR(__xludf.DUMMYFUNCTION("IMPORTRANGE(""https://docs.google.com/spreadsheets/d/1-uDff_7J0KD5mKrp0Vvzr7lt3OU09vwQwhkpOPPYv2Y/edit?usp=sharing"",""งบพรบ!BB65"")"),0)</f>
        <v>0</v>
      </c>
      <c r="N99" s="427">
        <f ca="1">IFERROR(__xludf.DUMMYFUNCTION("IMPORTRANGE(""https://docs.google.com/spreadsheets/d/1-uDff_7J0KD5mKrp0Vvzr7lt3OU09vwQwhkpOPPYv2Y/edit?usp=sharing"",""งบพรบ!BD65"")"),0)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IFERROR(__xludf.DUMMYFUNCTION("IMPORTRANGE(""https://docs.google.com/spreadsheets/d/1-uDff_7J0KD5mKrp0Vvzr7lt3OU09vwQwhkpOPPYv2Y/edit?usp=sharing"",""งบพรบ!AZ65"")"),0)</f>
        <v>0</v>
      </c>
      <c r="M102" s="427">
        <f ca="1">IFERROR(__xludf.DUMMYFUNCTION("IMPORTRANGE(""https://docs.google.com/spreadsheets/d/1-uDff_7J0KD5mKrp0Vvzr7lt3OU09vwQwhkpOPPYv2Y/edit?usp=sharing"",""งบพรบ!BC65"")"),0)</f>
        <v>0</v>
      </c>
      <c r="N102" s="427">
        <f ca="1">IFERROR(__xludf.DUMMYFUNCTION("IMPORTRANGE(""https://docs.google.com/spreadsheets/d/1-uDff_7J0KD5mKrp0Vvzr7lt3OU09vwQwhkpOPPYv2Y/edit?usp=sharing"",""งบพรบ!BE65"")"),0)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IFERROR(__xludf.DUMMYFUNCTION("IMPORTRANGE(""https://docs.google.com/spreadsheets/d/1eHaY18a8A9IcSdp1K8H6x8fbOy06t2VsZHhMHf-1x7Y/edit?usp=sharing"",""แผน!N65"")"),0)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IFERROR(__xludf.DUMMYFUNCTION("IMPORTRANGE(""https://docs.google.com/spreadsheets/d/1eHaY18a8A9IcSdp1K8H6x8fbOy06t2VsZHhMHf-1x7Y/edit?usp=sharing"",""แผน!O65"")"),0)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IFERROR(__xludf.DUMMYFUNCTION("IMPORTRANGE(""https://docs.google.com/spreadsheets/d/1eHaY18a8A9IcSdp1K8H6x8fbOy06t2VsZHhMHf-1x7Y/edit?usp=sharing"",""แผน!R65"")"),0)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IFERROR(__xludf.DUMMYFUNCTION("IMPORTRANGE(""https://docs.google.com/spreadsheets/d/1-uDff_7J0KD5mKrp0Vvzr7lt3OU09vwQwhkpOPPYv2Y/edit?usp=sharing"",""งบพรบ!BG65"")"),0)</f>
        <v>0</v>
      </c>
      <c r="M130" s="864">
        <f ca="1">IFERROR(__xludf.DUMMYFUNCTION("IMPORTRANGE(""https://docs.google.com/spreadsheets/d/1-uDff_7J0KD5mKrp0Vvzr7lt3OU09vwQwhkpOPPYv2Y/edit?usp=sharing"",""งบพรบ!BL65"")"),0)</f>
        <v>0</v>
      </c>
      <c r="N130" s="864">
        <f ca="1">IFERROR(__xludf.DUMMYFUNCTION("IMPORTRANGE(""https://docs.google.com/spreadsheets/d/1-uDff_7J0KD5mKrp0Vvzr7lt3OU09vwQwhkpOPPYv2Y/edit?usp=sharing"",""งบพรบ!BN65"")"),0)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IFERROR(__xludf.DUMMYFUNCTION("IMPORTRANGE(""https://docs.google.com/spreadsheets/d/1-uDff_7J0KD5mKrp0Vvzr7lt3OU09vwQwhkpOPPYv2Y/edit?usp=sharing"",""งบพรบ!BJ65"")"),0)</f>
        <v>0</v>
      </c>
      <c r="M133" s="864">
        <f ca="1">IFERROR(__xludf.DUMMYFUNCTION("IMPORTRANGE(""https://docs.google.com/spreadsheets/d/1-uDff_7J0KD5mKrp0Vvzr7lt3OU09vwQwhkpOPPYv2Y/edit?usp=sharing"",""งบพรบ!BM65"")"),0)</f>
        <v>0</v>
      </c>
      <c r="N133" s="864">
        <f ca="1">IFERROR(__xludf.DUMMYFUNCTION("IMPORTRANGE(""https://docs.google.com/spreadsheets/d/1-uDff_7J0KD5mKrp0Vvzr7lt3OU09vwQwhkpOPPYv2Y/edit?usp=sharing"",""งบพรบ!BO65"")"),0)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1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10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1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115300</v>
      </c>
      <c r="M139" s="715">
        <f ca="1">M140+M141</f>
        <v>89600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115300</v>
      </c>
      <c r="M141" s="427">
        <f t="shared" ca="1" si="23"/>
        <v>89600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115300</v>
      </c>
      <c r="M142" s="427">
        <f ca="1">M143+M144</f>
        <v>89600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IFERROR(__xludf.DUMMYFUNCTION("IMPORTRANGE(""https://docs.google.com/spreadsheets/d/1-uDff_7J0KD5mKrp0Vvzr7lt3OU09vwQwhkpOPPYv2Y/edit?usp=sharing"",""งบพรบ!BQ65"")"),115300)</f>
        <v>115300</v>
      </c>
      <c r="M144" s="427">
        <f ca="1">IFERROR(__xludf.DUMMYFUNCTION("IMPORTRANGE(""https://docs.google.com/spreadsheets/d/1-uDff_7J0KD5mKrp0Vvzr7lt3OU09vwQwhkpOPPYv2Y/edit?usp=sharing"",""งบพรบ!BV65"")"),89600)</f>
        <v>89600</v>
      </c>
      <c r="N144" s="427">
        <f ca="1">IFERROR(__xludf.DUMMYFUNCTION("IMPORTRANGE(""https://docs.google.com/spreadsheets/d/1-uDff_7J0KD5mKrp0Vvzr7lt3OU09vwQwhkpOPPYv2Y/edit?usp=sharing"",""งบพรบ!BX65"")"),0)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IFERROR(__xludf.DUMMYFUNCTION("IMPORTRANGE(""https://docs.google.com/spreadsheets/d/1-uDff_7J0KD5mKrp0Vvzr7lt3OU09vwQwhkpOPPYv2Y/edit?usp=sharing"",""งบพรบ!BT65"")"),0)</f>
        <v>0</v>
      </c>
      <c r="M147" s="427">
        <f ca="1">IFERROR(__xludf.DUMMYFUNCTION("IMPORTRANGE(""https://docs.google.com/spreadsheets/d/1-uDff_7J0KD5mKrp0Vvzr7lt3OU09vwQwhkpOPPYv2Y/edit?usp=sharing"",""งบพรบ!BW65"")"),0)</f>
        <v>0</v>
      </c>
      <c r="N147" s="427">
        <f ca="1">IFERROR(__xludf.DUMMYFUNCTION("IMPORTRANGE(""https://docs.google.com/spreadsheets/d/1-uDff_7J0KD5mKrp0Vvzr7lt3OU09vwQwhkpOPPYv2Y/edit?usp=sharing"",""งบพรบ!BY65"")"),0)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IFERROR(__xludf.DUMMYFUNCTION("IMPORTRANGE(""https://docs.google.com/spreadsheets/d/1eHaY18a8A9IcSdp1K8H6x8fbOy06t2VsZHhMHf-1x7Y/edit?usp=sharing"",""แผน!U65"")"),10)</f>
        <v>10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IFERROR(__xludf.DUMMYFUNCTION("IMPORTRANGE(""https://docs.google.com/spreadsheets/d/1eHaY18a8A9IcSdp1K8H6x8fbOy06t2VsZHhMHf-1x7Y/edit?usp=sharing"",""แผน!V65"")"),1)</f>
        <v>1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IFERROR(__xludf.DUMMYFUNCTION("IMPORTRANGE(""https://docs.google.com/spreadsheets/d/1eHaY18a8A9IcSdp1K8H6x8fbOy06t2VsZHhMHf-1x7Y/edit?usp=sharing"",""แผน!W65"")"),10)</f>
        <v>10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IFERROR(__xludf.DUMMYFUNCTION("IMPORTRANGE(""https://docs.google.com/spreadsheets/d/1eHaY18a8A9IcSdp1K8H6x8fbOy06t2VsZHhMHf-1x7Y/edit?usp=sharing"",""แผน!X65"")"),1)</f>
        <v>1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IFERROR(__xludf.DUMMYFUNCTION("IMPORTRANGE(""https://docs.google.com/spreadsheets/d/1eHaY18a8A9IcSdp1K8H6x8fbOy06t2VsZHhMHf-1x7Y/edit?usp=sharing"",""แผน!Y65"")"),1)</f>
        <v>1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IFERROR(__xludf.DUMMYFUNCTION("IMPORTRANGE(""https://docs.google.com/spreadsheets/d/1-uDff_7J0KD5mKrp0Vvzr7lt3OU09vwQwhkpOPPYv2Y/edit?usp=sharing"",""งบพรบ!CA65"")"),3000)</f>
        <v>3000</v>
      </c>
      <c r="M162" s="427">
        <f ca="1">IFERROR(__xludf.DUMMYFUNCTION("IMPORTRANGE(""https://docs.google.com/spreadsheets/d/1-uDff_7J0KD5mKrp0Vvzr7lt3OU09vwQwhkpOPPYv2Y/edit?usp=sharing"",""งบพรบ!CF65"")"),0)</f>
        <v>0</v>
      </c>
      <c r="N162" s="427">
        <f ca="1">IFERROR(__xludf.DUMMYFUNCTION("IMPORTRANGE(""https://docs.google.com/spreadsheets/d/1-uDff_7J0KD5mKrp0Vvzr7lt3OU09vwQwhkpOPPYv2Y/edit?usp=sharing"",""งบพรบ!CH65"")"),0)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IFERROR(__xludf.DUMMYFUNCTION("IMPORTRANGE(""https://docs.google.com/spreadsheets/d/1-uDff_7J0KD5mKrp0Vvzr7lt3OU09vwQwhkpOPPYv2Y/edit?usp=sharing"",""งบพรบ!CD65"")"),0)</f>
        <v>0</v>
      </c>
      <c r="M165" s="427">
        <f ca="1">IFERROR(__xludf.DUMMYFUNCTION("IMPORTRANGE(""https://docs.google.com/spreadsheets/d/1-uDff_7J0KD5mKrp0Vvzr7lt3OU09vwQwhkpOPPYv2Y/edit?usp=sharing"",""งบพรบ!CG65"")"),0)</f>
        <v>0</v>
      </c>
      <c r="N165" s="427">
        <f ca="1">IFERROR(__xludf.DUMMYFUNCTION("IMPORTRANGE(""https://docs.google.com/spreadsheets/d/1-uDff_7J0KD5mKrp0Vvzr7lt3OU09vwQwhkpOPPYv2Y/edit?usp=sharing"",""งบพรบ!CI65"")"),0)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IFERROR(__xludf.DUMMYFUNCTION("IMPORTRANGE(""https://docs.google.com/spreadsheets/d/1eHaY18a8A9IcSdp1K8H6x8fbOy06t2VsZHhMHf-1x7Y/edit?usp=sharing"",""แผน!Z65"")"),10)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IFERROR(__xludf.DUMMYFUNCTION("IMPORTRANGE(""https://docs.google.com/spreadsheets/d/1-uDff_7J0KD5mKrp0Vvzr7lt3OU09vwQwhkpOPPYv2Y/edit?usp=sharing"",""งบพรบ!CK65"")"),19590)</f>
        <v>19590</v>
      </c>
      <c r="M178" s="427">
        <f ca="1">IFERROR(__xludf.DUMMYFUNCTION("IMPORTRANGE(""https://docs.google.com/spreadsheets/d/1-uDff_7J0KD5mKrp0Vvzr7lt3OU09vwQwhkpOPPYv2Y/edit?usp=sharing"",""งบพรบ!CP65"")"),19590)</f>
        <v>19590</v>
      </c>
      <c r="N178" s="427">
        <f ca="1">IFERROR(__xludf.DUMMYFUNCTION("IMPORTRANGE(""https://docs.google.com/spreadsheets/d/1-uDff_7J0KD5mKrp0Vvzr7lt3OU09vwQwhkpOPPYv2Y/edit?usp=sharing"",""งบพรบ!CR65"")"),0)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IFERROR(__xludf.DUMMYFUNCTION("IMPORTRANGE(""https://docs.google.com/spreadsheets/d/1-uDff_7J0KD5mKrp0Vvzr7lt3OU09vwQwhkpOPPYv2Y/edit?usp=sharing"",""งบพรบ!CN65"")"),0)</f>
        <v>0</v>
      </c>
      <c r="M181" s="427">
        <f ca="1">IFERROR(__xludf.DUMMYFUNCTION("IMPORTRANGE(""https://docs.google.com/spreadsheets/d/1-uDff_7J0KD5mKrp0Vvzr7lt3OU09vwQwhkpOPPYv2Y/edit?usp=sharing"",""งบพรบ!CQ65"")"),0)</f>
        <v>0</v>
      </c>
      <c r="N181" s="427">
        <f ca="1">IFERROR(__xludf.DUMMYFUNCTION("IMPORTRANGE(""https://docs.google.com/spreadsheets/d/1-uDff_7J0KD5mKrp0Vvzr7lt3OU09vwQwhkpOPPYv2Y/edit?usp=sharing"",""งบพรบ!CS65"")"),0)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IFERROR(__xludf.DUMMYFUNCTION("IMPORTRANGE(""https://docs.google.com/spreadsheets/d/1eHaY18a8A9IcSdp1K8H6x8fbOy06t2VsZHhMHf-1x7Y/edit?usp=sharing"",""แผน!AA65"")"),7)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38500</v>
      </c>
      <c r="M186" s="715">
        <f ca="1">M187+M188</f>
        <v>22500</v>
      </c>
      <c r="N186" s="715">
        <f ca="1">N187+N188</f>
        <v>0</v>
      </c>
      <c r="O186" s="715">
        <f t="shared" ref="O186:O194" ca="1" si="30">IF(L186&gt;0,N186*100/L186,0)</f>
        <v>0</v>
      </c>
      <c r="P186" s="715">
        <f t="shared" ref="P186:P194" ca="1" si="31">IF(M186&gt;0,N186*100/M186,0)</f>
        <v>0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38500</v>
      </c>
      <c r="M188" s="427">
        <f t="shared" ca="1" si="32"/>
        <v>22500</v>
      </c>
      <c r="N188" s="427">
        <f t="shared" ca="1" si="32"/>
        <v>0</v>
      </c>
      <c r="O188" s="427">
        <f t="shared" ca="1" si="30"/>
        <v>0</v>
      </c>
      <c r="P188" s="427">
        <f t="shared" ca="1" si="31"/>
        <v>0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38500</v>
      </c>
      <c r="M189" s="427">
        <f ca="1">M190+M191</f>
        <v>22500</v>
      </c>
      <c r="N189" s="427">
        <f ca="1">N190+N191</f>
        <v>0</v>
      </c>
      <c r="O189" s="427">
        <f t="shared" ca="1" si="30"/>
        <v>0</v>
      </c>
      <c r="P189" s="427">
        <f t="shared" ca="1" si="31"/>
        <v>0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IFERROR(__xludf.DUMMYFUNCTION("IMPORTRANGE(""https://docs.google.com/spreadsheets/d/1-uDff_7J0KD5mKrp0Vvzr7lt3OU09vwQwhkpOPPYv2Y/edit?usp=sharing"",""งบพรบ!CU65"")"),38500)</f>
        <v>38500</v>
      </c>
      <c r="M191" s="427">
        <f ca="1">IFERROR(__xludf.DUMMYFUNCTION("IMPORTRANGE(""https://docs.google.com/spreadsheets/d/1-uDff_7J0KD5mKrp0Vvzr7lt3OU09vwQwhkpOPPYv2Y/edit?usp=sharing"",""งบพรบ!CZ65"")"),22500)</f>
        <v>22500</v>
      </c>
      <c r="N191" s="427">
        <f ca="1">IFERROR(__xludf.DUMMYFUNCTION("IMPORTRANGE(""https://docs.google.com/spreadsheets/d/1-uDff_7J0KD5mKrp0Vvzr7lt3OU09vwQwhkpOPPYv2Y/edit?usp=sharing"",""งบพรบ!DB65"")"),0)</f>
        <v>0</v>
      </c>
      <c r="O191" s="427">
        <f t="shared" ca="1" si="30"/>
        <v>0</v>
      </c>
      <c r="P191" s="427">
        <f t="shared" ca="1" si="31"/>
        <v>0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IFERROR(__xludf.DUMMYFUNCTION("IMPORTRANGE(""https://docs.google.com/spreadsheets/d/1-uDff_7J0KD5mKrp0Vvzr7lt3OU09vwQwhkpOPPYv2Y/edit?usp=sharing"",""งบพรบ!CX65"")"),0)</f>
        <v>0</v>
      </c>
      <c r="M194" s="427">
        <f ca="1">IFERROR(__xludf.DUMMYFUNCTION("IMPORTRANGE(""https://docs.google.com/spreadsheets/d/1-uDff_7J0KD5mKrp0Vvzr7lt3OU09vwQwhkpOPPYv2Y/edit?usp=sharing"",""งบพรบ!DA65"")"),0)</f>
        <v>0</v>
      </c>
      <c r="N194" s="427">
        <f ca="1">IFERROR(__xludf.DUMMYFUNCTION("IMPORTRANGE(""https://docs.google.com/spreadsheets/d/1-uDff_7J0KD5mKrp0Vvzr7lt3OU09vwQwhkpOPPYv2Y/edit?usp=sharing"",""งบพรบ!DC65"")"),0)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IFERROR(__xludf.DUMMYFUNCTION("IMPORTRANGE(""https://docs.google.com/spreadsheets/d/1eHaY18a8A9IcSdp1K8H6x8fbOy06t2VsZHhMHf-1x7Y/edit?usp=sharing"",""แผน!AB65"")"),6000)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IFERROR(__xludf.DUMMYFUNCTION("IMPORTRANGE(""https://docs.google.com/spreadsheets/d/1eHaY18a8A9IcSdp1K8H6x8fbOy06t2VsZHhMHf-1x7Y/edit?usp=sharing"",""แผน!AE65"")"),4)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26000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IFERROR(__xludf.DUMMYFUNCTION("IMPORTRANGE(""https://docs.google.com/spreadsheets/d/1eHaY18a8A9IcSdp1K8H6x8fbOy06t2VsZHhMHf-1x7Y/edit?usp=sharing"",""แผน!AG65"")"),2000)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IFERROR(__xludf.DUMMYFUNCTION("IMPORTRANGE(""https://docs.google.com/spreadsheets/d/1eHaY18a8A9IcSdp1K8H6x8fbOy06t2VsZHhMHf-1x7Y/edit?usp=sharing"",""แผน!AH65"")"),0)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IFERROR(__xludf.DUMMYFUNCTION("IMPORTRANGE(""https://docs.google.com/spreadsheets/d/1eHaY18a8A9IcSdp1K8H6x8fbOy06t2VsZHhMHf-1x7Y/edit?usp=sharing"",""แผน!AI65"")"),16000)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IFERROR(__xludf.DUMMYFUNCTION("IMPORTRANGE(""https://docs.google.com/spreadsheets/d/1eHaY18a8A9IcSdp1K8H6x8fbOy06t2VsZHhMHf-1x7Y/edit?usp=sharing"",""แผน!AJ65"")"),8000)</f>
        <v>8000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IFERROR(__xludf.DUMMYFUNCTION("IMPORTRANGE(""https://docs.google.com/spreadsheets/d/1eHaY18a8A9IcSdp1K8H6x8fbOy06t2VsZHhMHf-1x7Y/edit?usp=sharing"",""แผน!AK65"")"),2)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IFERROR(__xludf.DUMMYFUNCTION("IMPORTRANGE(""https://docs.google.com/spreadsheets/d/1eHaY18a8A9IcSdp1K8H6x8fbOy06t2VsZHhMHf-1x7Y/edit?usp=sharing"",""แผน!JX65"")"),2)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IFERROR(__xludf.DUMMYFUNCTION("IMPORTRANGE(""https://docs.google.com/spreadsheets/d/1eHaY18a8A9IcSdp1K8H6x8fbOy06t2VsZHhMHf-1x7Y/edit?usp=sharing"",""แผน!JY65"")"),0)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IFERROR(__xludf.DUMMYFUNCTION("IMPORTRANGE(""https://docs.google.com/spreadsheets/d/1eHaY18a8A9IcSdp1K8H6x8fbOy06t2VsZHhMHf-1x7Y/edit?usp=sharing"",""แผน!AM65"")"),0)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IFERROR(__xludf.DUMMYFUNCTION("IMPORTRANGE(""https://docs.google.com/spreadsheets/d/1eHaY18a8A9IcSdp1K8H6x8fbOy06t2VsZHhMHf-1x7Y/edit?usp=sharing"",""แผน!AN65"")"),0)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IFERROR(__xludf.DUMMYFUNCTION("IMPORTRANGE(""https://docs.google.com/spreadsheets/d/1eHaY18a8A9IcSdp1K8H6x8fbOy06t2VsZHhMHf-1x7Y/edit?usp=sharing"",""แผน!AO65"")"),0)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IFERROR(__xludf.DUMMYFUNCTION("IMPORTRANGE(""https://docs.google.com/spreadsheets/d/1eHaY18a8A9IcSdp1K8H6x8fbOy06t2VsZHhMHf-1x7Y/edit?usp=sharing"",""แผน!AP65"")"),0)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IFERROR(__xludf.DUMMYFUNCTION("IMPORTRANGE(""https://docs.google.com/spreadsheets/d/1eHaY18a8A9IcSdp1K8H6x8fbOy06t2VsZHhMHf-1x7Y/edit?usp=sharing"",""แผน!AP65"")"),0)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30000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6500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IFERROR(__xludf.DUMMYFUNCTION("IMPORTRANGE(""https://docs.google.com/spreadsheets/d/1eHaY18a8A9IcSdp1K8H6x8fbOy06t2VsZHhMHf-1x7Y/edit?usp=sharing"",""แผน!AR65"")"),5000)</f>
        <v>5000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IFERROR(__xludf.DUMMYFUNCTION("IMPORTRANGE(""https://docs.google.com/spreadsheets/d/1eHaY18a8A9IcSdp1K8H6x8fbOy06t2VsZHhMHf-1x7Y/edit?usp=sharing"",""แผน!AS65"")"),1500)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IFERROR(__xludf.DUMMYFUNCTION("IMPORTRANGE(""https://docs.google.com/spreadsheets/d/1eHaY18a8A9IcSdp1K8H6x8fbOy06t2VsZHhMHf-1x7Y/edit?usp=sharing"",""แผน!AT65"")"),0)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IFERROR(__xludf.DUMMYFUNCTION("IMPORTRANGE(""https://docs.google.com/spreadsheets/d/1eHaY18a8A9IcSdp1K8H6x8fbOy06t2VsZHhMHf-1x7Y/edit?usp=sharing"",""แผน!AV65"")"),30000)</f>
        <v>30000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IFERROR(__xludf.DUMMYFUNCTION("IMPORTRANGE(""https://docs.google.com/spreadsheets/d/1eHaY18a8A9IcSdp1K8H6x8fbOy06t2VsZHhMHf-1x7Y/edit?usp=sharing"",""แผน!AV65"")"),30000)</f>
        <v>30000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IFERROR(__xludf.DUMMYFUNCTION("IMPORTRANGE(""https://docs.google.com/spreadsheets/d/1eHaY18a8A9IcSdp1K8H6x8fbOy06t2VsZHhMHf-1x7Y/edit?usp=sharing"",""แผน!AU65"")"),0)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IFERROR(__xludf.DUMMYFUNCTION("IMPORTRANGE(""https://docs.google.com/spreadsheets/d/1eHaY18a8A9IcSdp1K8H6x8fbOy06t2VsZHhMHf-1x7Y/edit?usp=sharing"",""แผน!AX65"")"),0)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IFERROR(__xludf.DUMMYFUNCTION("IMPORTRANGE(""https://docs.google.com/spreadsheets/d/1eHaY18a8A9IcSdp1K8H6x8fbOy06t2VsZHhMHf-1x7Y/edit?usp=sharing"",""แผน!AY65"")"),0)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IFERROR(__xludf.DUMMYFUNCTION("IMPORTRANGE(""https://docs.google.com/spreadsheets/d/1eHaY18a8A9IcSdp1K8H6x8fbOy06t2VsZHhMHf-1x7Y/edit?usp=sharing"",""แผน!AZ65"")"),0)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IFERROR(__xludf.DUMMYFUNCTION("IMPORTRANGE(""https://docs.google.com/spreadsheets/d/1eHaY18a8A9IcSdp1K8H6x8fbOy06t2VsZHhMHf-1x7Y/edit?usp=sharing"",""แผน!BA65"")"),0)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IFERROR(__xludf.DUMMYFUNCTION("IMPORTRANGE(""https://docs.google.com/spreadsheets/d/1eHaY18a8A9IcSdp1K8H6x8fbOy06t2VsZHhMHf-1x7Y/edit?usp=sharing"",""แผน!BG65"")"),0)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IFERROR(__xludf.DUMMYFUNCTION("IMPORTRANGE(""https://docs.google.com/spreadsheets/d/1eHaY18a8A9IcSdp1K8H6x8fbOy06t2VsZHhMHf-1x7Y/edit?usp=sharing"",""แผน!BB65"")"),0)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IFERROR(__xludf.DUMMYFUNCTION("IMPORTRANGE(""https://docs.google.com/spreadsheets/d/1eHaY18a8A9IcSdp1K8H6x8fbOy06t2VsZHhMHf-1x7Y/edit?usp=sharing"",""แผน!BC65"")"),0)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IFERROR(__xludf.DUMMYFUNCTION("IMPORTRANGE(""https://docs.google.com/spreadsheets/d/1eHaY18a8A9IcSdp1K8H6x8fbOy06t2VsZHhMHf-1x7Y/edit?usp=sharing"",""แผน!BD65"")"),0)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IFERROR(__xludf.DUMMYFUNCTION("IMPORTRANGE(""https://docs.google.com/spreadsheets/d/1eHaY18a8A9IcSdp1K8H6x8fbOy06t2VsZHhMHf-1x7Y/edit?usp=sharing"",""แผน!BE65"")"),0)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IFERROR(__xludf.DUMMYFUNCTION("IMPORTRANGE(""https://docs.google.com/spreadsheets/d/1eHaY18a8A9IcSdp1K8H6x8fbOy06t2VsZHhMHf-1x7Y/edit?usp=sharing"",""แผน!BH65"")"),0)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IFERROR(__xludf.DUMMYFUNCTION("IMPORTRANGE(""https://docs.google.com/spreadsheets/d/1-uDff_7J0KD5mKrp0Vvzr7lt3OU09vwQwhkpOPPYv2Y/edit?usp=sharing"",""งบพรบ!DE65"")"),0)</f>
        <v>0</v>
      </c>
      <c r="M271" s="502">
        <f ca="1">IFERROR(__xludf.DUMMYFUNCTION("IMPORTRANGE(""https://docs.google.com/spreadsheets/d/1-uDff_7J0KD5mKrp0Vvzr7lt3OU09vwQwhkpOPPYv2Y/edit?usp=sharing"",""งบพรบ!DJ65"")"),0)</f>
        <v>0</v>
      </c>
      <c r="N271" s="502">
        <f ca="1">IFERROR(__xludf.DUMMYFUNCTION("IMPORTRANGE(""https://docs.google.com/spreadsheets/d/1-uDff_7J0KD5mKrp0Vvzr7lt3OU09vwQwhkpOPPYv2Y/edit?usp=sharing"",""งบพรบ!DL65"")"),0)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IFERROR(__xludf.DUMMYFUNCTION("IMPORTRANGE(""https://docs.google.com/spreadsheets/d/1-uDff_7J0KD5mKrp0Vvzr7lt3OU09vwQwhkpOPPYv2Y/edit?usp=sharing"",""งบพรบ!DH65"")"),0)</f>
        <v>0</v>
      </c>
      <c r="M274" s="502">
        <f ca="1">IFERROR(__xludf.DUMMYFUNCTION("IMPORTRANGE(""https://docs.google.com/spreadsheets/d/1-uDff_7J0KD5mKrp0Vvzr7lt3OU09vwQwhkpOPPYv2Y/edit?usp=sharing"",""งบพรบ!DK65"")"),0)</f>
        <v>0</v>
      </c>
      <c r="N274" s="502">
        <f ca="1">IFERROR(__xludf.DUMMYFUNCTION("IMPORTRANGE(""https://docs.google.com/spreadsheets/d/1-uDff_7J0KD5mKrp0Vvzr7lt3OU09vwQwhkpOPPYv2Y/edit?usp=sharing"",""งบพรบ!DM65"")"),0)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IFERROR(__xludf.DUMMYFUNCTION("IMPORTRANGE(""https://docs.google.com/spreadsheets/d/1-uDff_7J0KD5mKrp0Vvzr7lt3OU09vwQwhkpOPPYv2Y/edit?usp=sharing"",""งบพรบ!DO65"")"),0)</f>
        <v>0</v>
      </c>
      <c r="M287" s="427">
        <f ca="1">IFERROR(__xludf.DUMMYFUNCTION("IMPORTRANGE(""https://docs.google.com/spreadsheets/d/1-uDff_7J0KD5mKrp0Vvzr7lt3OU09vwQwhkpOPPYv2Y/edit?usp=sharing"",""งบพรบ!DT65"")"),0)</f>
        <v>0</v>
      </c>
      <c r="N287" s="427">
        <f ca="1">IFERROR(__xludf.DUMMYFUNCTION("IMPORTRANGE(""https://docs.google.com/spreadsheets/d/1-uDff_7J0KD5mKrp0Vvzr7lt3OU09vwQwhkpOPPYv2Y/edit?usp=sharing"",""งบพรบ!DV65"")"),0)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IFERROR(__xludf.DUMMYFUNCTION("IMPORTRANGE(""https://docs.google.com/spreadsheets/d/1-uDff_7J0KD5mKrp0Vvzr7lt3OU09vwQwhkpOPPYv2Y/edit?usp=sharing"",""งบพรบ!DR65"")"),0)</f>
        <v>0</v>
      </c>
      <c r="M290" s="427">
        <f ca="1">IFERROR(__xludf.DUMMYFUNCTION("IMPORTRANGE(""https://docs.google.com/spreadsheets/d/1-uDff_7J0KD5mKrp0Vvzr7lt3OU09vwQwhkpOPPYv2Y/edit?usp=sharing"",""งบพรบ!DU65"")"),0)</f>
        <v>0</v>
      </c>
      <c r="N290" s="427">
        <f ca="1">IFERROR(__xludf.DUMMYFUNCTION("IMPORTRANGE(""https://docs.google.com/spreadsheets/d/1-uDff_7J0KD5mKrp0Vvzr7lt3OU09vwQwhkpOPPYv2Y/edit?usp=sharing"",""งบพรบ!DW65"")"),0)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IFERROR(__xludf.DUMMYFUNCTION("IMPORTRANGE(""https://docs.google.com/spreadsheets/d/1eHaY18a8A9IcSdp1K8H6x8fbOy06t2VsZHhMHf-1x7Y/edit?usp=sharing"",""แผน!EE65"")"),0)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IFERROR(__xludf.DUMMYFUNCTION("IMPORTRANGE(""https://docs.google.com/spreadsheets/d/1eHaY18a8A9IcSdp1K8H6x8fbOy06t2VsZHhMHf-1x7Y/edit?usp=sharing"",""แผน!ED65"")"),0)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IFERROR(__xludf.DUMMYFUNCTION("IMPORTRANGE(""https://docs.google.com/spreadsheets/d/1eHaY18a8A9IcSdp1K8H6x8fbOy06t2VsZHhMHf-1x7Y/edit?usp=sharing"",""แผน!ED65"")"),0)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IFERROR(__xludf.DUMMYFUNCTION("IMPORTRANGE(""https://docs.google.com/spreadsheets/d/1eHaY18a8A9IcSdp1K8H6x8fbOy06t2VsZHhMHf-1x7Y/edit?usp=sharing"",""แผน!ED65"")"),0)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IFERROR(__xludf.DUMMYFUNCTION("IMPORTRANGE(""https://docs.google.com/spreadsheets/d/1-uDff_7J0KD5mKrp0Vvzr7lt3OU09vwQwhkpOPPYv2Y/edit?usp=sharing"",""งบพรบ!DY65"")"),0)</f>
        <v>0</v>
      </c>
      <c r="M308" s="427">
        <f ca="1">IFERROR(__xludf.DUMMYFUNCTION("IMPORTRANGE(""https://docs.google.com/spreadsheets/d/1-uDff_7J0KD5mKrp0Vvzr7lt3OU09vwQwhkpOPPYv2Y/edit?usp=sharing"",""งบพรบ!ED65"")"),0)</f>
        <v>0</v>
      </c>
      <c r="N308" s="427">
        <f ca="1">IFERROR(__xludf.DUMMYFUNCTION("IMPORTRANGE(""https://docs.google.com/spreadsheets/d/1-uDff_7J0KD5mKrp0Vvzr7lt3OU09vwQwhkpOPPYv2Y/edit?usp=sharing"",""งบพรบ!EF65"")"),0)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IFERROR(__xludf.DUMMYFUNCTION("IMPORTRANGE(""https://docs.google.com/spreadsheets/d/1-uDff_7J0KD5mKrp0Vvzr7lt3OU09vwQwhkpOPPYv2Y/edit?usp=sharing"",""งบพรบ!EB65"")"),0)</f>
        <v>0</v>
      </c>
      <c r="M311" s="427">
        <f ca="1">IFERROR(__xludf.DUMMYFUNCTION("IMPORTRANGE(""https://docs.google.com/spreadsheets/d/1-uDff_7J0KD5mKrp0Vvzr7lt3OU09vwQwhkpOPPYv2Y/edit?usp=sharing"",""งบพรบ!EE65"")"),0)</f>
        <v>0</v>
      </c>
      <c r="N311" s="427">
        <f ca="1">IFERROR(__xludf.DUMMYFUNCTION("IMPORTRANGE(""https://docs.google.com/spreadsheets/d/1-uDff_7J0KD5mKrp0Vvzr7lt3OU09vwQwhkpOPPYv2Y/edit?usp=sharing"",""งบพรบ!EG65"")"),0)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IFERROR(__xludf.DUMMYFUNCTION("IMPORTRANGE(""https://docs.google.com/spreadsheets/d/1eHaY18a8A9IcSdp1K8H6x8fbOy06t2VsZHhMHf-1x7Y/edit?usp=sharing"",""แผน!EF65"")"),0)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IFERROR(__xludf.DUMMYFUNCTION("IMPORTRANGE(""https://docs.google.com/spreadsheets/d/1eHaY18a8A9IcSdp1K8H6x8fbOy06t2VsZHhMHf-1x7Y/edit?usp=sharing"",""แผน!EG65"")"),0)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IFERROR(__xludf.DUMMYFUNCTION("IMPORTRANGE(""https://docs.google.com/spreadsheets/d/1eHaY18a8A9IcSdp1K8H6x8fbOy06t2VsZHhMHf-1x7Y/edit?usp=sharing"",""แผน!EH65"")"),0)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IFERROR(__xludf.DUMMYFUNCTION("IMPORTRANGE(""https://docs.google.com/spreadsheets/d/1eHaY18a8A9IcSdp1K8H6x8fbOy06t2VsZHhMHf-1x7Y/edit?usp=sharing"",""แผน!EI65"")"),0)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IFERROR(__xludf.DUMMYFUNCTION("IMPORTRANGE(""https://docs.google.com/spreadsheets/d/1-uDff_7J0KD5mKrp0Vvzr7lt3OU09vwQwhkpOPPYv2Y/edit?usp=sharing"",""งบพรบ!EI65"")"),0)</f>
        <v>0</v>
      </c>
      <c r="M325" s="427">
        <f ca="1">IFERROR(__xludf.DUMMYFUNCTION("IMPORTRANGE(""https://docs.google.com/spreadsheets/d/1-uDff_7J0KD5mKrp0Vvzr7lt3OU09vwQwhkpOPPYv2Y/edit?usp=sharing"",""งบพรบ!EN65"")"),0)</f>
        <v>0</v>
      </c>
      <c r="N325" s="427">
        <f ca="1">IFERROR(__xludf.DUMMYFUNCTION("IMPORTRANGE(""https://docs.google.com/spreadsheets/d/1-uDff_7J0KD5mKrp0Vvzr7lt3OU09vwQwhkpOPPYv2Y/edit?usp=sharing"",""งบพรบ!EP65"")"),0)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IFERROR(__xludf.DUMMYFUNCTION("IMPORTRANGE(""https://docs.google.com/spreadsheets/d/1-uDff_7J0KD5mKrp0Vvzr7lt3OU09vwQwhkpOPPYv2Y/edit?usp=sharing"",""งบพรบ!EL65"")"),0)</f>
        <v>0</v>
      </c>
      <c r="M328" s="427">
        <f ca="1">IFERROR(__xludf.DUMMYFUNCTION("IMPORTRANGE(""https://docs.google.com/spreadsheets/d/1-uDff_7J0KD5mKrp0Vvzr7lt3OU09vwQwhkpOPPYv2Y/edit?usp=sharing"",""งบพรบ!EO65"")"),0)</f>
        <v>0</v>
      </c>
      <c r="N328" s="427">
        <f ca="1">IFERROR(__xludf.DUMMYFUNCTION("IMPORTRANGE(""https://docs.google.com/spreadsheets/d/1-uDff_7J0KD5mKrp0Vvzr7lt3OU09vwQwhkpOPPYv2Y/edit?usp=sharing"",""งบพรบ!EQ65"")"),0)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IFERROR(__xludf.DUMMYFUNCTION("IMPORTRANGE(""https://docs.google.com/spreadsheets/d/1eHaY18a8A9IcSdp1K8H6x8fbOy06t2VsZHhMHf-1x7Y/edit?usp=sharing"",""แผน!EJ65"")"),0)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460</v>
      </c>
      <c r="J332" s="404">
        <f ca="1">J344+J347+J348+J349+J353</f>
        <v>731</v>
      </c>
      <c r="K332" s="405">
        <f ca="1">IF(I332&gt;0,J332*100/I332,0)</f>
        <v>158.91304347826087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220600</v>
      </c>
      <c r="M333" s="715">
        <f ca="1">M334+M335</f>
        <v>167350</v>
      </c>
      <c r="N333" s="715">
        <f ca="1">N334+N335</f>
        <v>61490</v>
      </c>
      <c r="O333" s="715">
        <f t="shared" ref="O333:O341" ca="1" si="45">IF(L333&gt;0,N333*100/L333,0)</f>
        <v>27.873980054397098</v>
      </c>
      <c r="P333" s="715">
        <f t="shared" ref="P333:P341" ca="1" si="46">IF(M333&gt;0,N333*100/M333,0)</f>
        <v>36.743352255751418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220600</v>
      </c>
      <c r="M335" s="427">
        <f t="shared" ca="1" si="47"/>
        <v>167350</v>
      </c>
      <c r="N335" s="427">
        <f t="shared" ca="1" si="47"/>
        <v>61490</v>
      </c>
      <c r="O335" s="427">
        <f t="shared" ca="1" si="45"/>
        <v>27.873980054397098</v>
      </c>
      <c r="P335" s="427">
        <f t="shared" ca="1" si="46"/>
        <v>36.743352255751418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220600</v>
      </c>
      <c r="M336" s="427">
        <f ca="1">M337+M338</f>
        <v>167350</v>
      </c>
      <c r="N336" s="427">
        <f ca="1">N337+N338</f>
        <v>61490</v>
      </c>
      <c r="O336" s="427">
        <f t="shared" ca="1" si="45"/>
        <v>27.873980054397098</v>
      </c>
      <c r="P336" s="427">
        <f t="shared" ca="1" si="46"/>
        <v>36.743352255751418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IFERROR(__xludf.DUMMYFUNCTION("IMPORTRANGE(""https://docs.google.com/spreadsheets/d/1-uDff_7J0KD5mKrp0Vvzr7lt3OU09vwQwhkpOPPYv2Y/edit?usp=sharing"",""งบพรบ!ES65"")"),220600)</f>
        <v>220600</v>
      </c>
      <c r="M338" s="427">
        <f ca="1">IFERROR(__xludf.DUMMYFUNCTION("IMPORTRANGE(""https://docs.google.com/spreadsheets/d/1-uDff_7J0KD5mKrp0Vvzr7lt3OU09vwQwhkpOPPYv2Y/edit?usp=sharing"",""งบพรบ!EX65"")"),167350)</f>
        <v>167350</v>
      </c>
      <c r="N338" s="427">
        <f ca="1">IFERROR(__xludf.DUMMYFUNCTION("IMPORTRANGE(""https://docs.google.com/spreadsheets/d/1-uDff_7J0KD5mKrp0Vvzr7lt3OU09vwQwhkpOPPYv2Y/edit?usp=sharing"",""งบพรบ!EZ65"")"),61490)</f>
        <v>61490</v>
      </c>
      <c r="O338" s="427">
        <f t="shared" ca="1" si="45"/>
        <v>27.873980054397098</v>
      </c>
      <c r="P338" s="427">
        <f t="shared" ca="1" si="46"/>
        <v>36.743352255751418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IFERROR(__xludf.DUMMYFUNCTION("IMPORTRANGE(""https://docs.google.com/spreadsheets/d/1-uDff_7J0KD5mKrp0Vvzr7lt3OU09vwQwhkpOPPYv2Y/edit?usp=sharing"",""งบพรบ!EV65"")"),0)</f>
        <v>0</v>
      </c>
      <c r="M341" s="427">
        <f ca="1">IFERROR(__xludf.DUMMYFUNCTION("IMPORTRANGE(""https://docs.google.com/spreadsheets/d/1-uDff_7J0KD5mKrp0Vvzr7lt3OU09vwQwhkpOPPYv2Y/edit?usp=sharing"",""งบพรบ!EY65"")"),0)</f>
        <v>0</v>
      </c>
      <c r="N341" s="427">
        <f ca="1">IFERROR(__xludf.DUMMYFUNCTION("IMPORTRANGE(""https://docs.google.com/spreadsheets/d/1-uDff_7J0KD5mKrp0Vvzr7lt3OU09vwQwhkpOPPYv2Y/edit?usp=sharing"",""งบพรบ!FA65"")"),0)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117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IFERROR(__xludf.DUMMYFUNCTION("IMPORTRANGE(""https://docs.google.com/spreadsheets/d/1eHaY18a8A9IcSdp1K8H6x8fbOy06t2VsZHhMHf-1x7Y/edit?usp=sharing"",""แผน!EK65"")"),460)</f>
        <v>460</v>
      </c>
      <c r="J344" s="426">
        <f ca="1">IFERROR(__xludf.DUMMYFUNCTION("IMPORTRANGE(""https://docs.google.com/spreadsheets/d/1awYsYK3VOup2i3Pq_Yjnu8DRu_mYwSBnCR2QPthd0rU/edit?usp=sharing"",""ศูนย์ยกเว้นโฉนด!D65"")"),106)</f>
        <v>106</v>
      </c>
      <c r="K344" s="427">
        <f ca="1">IF(I344&gt;0,J344*100/I344,0)</f>
        <v>23.043478260869566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IFERROR(__xludf.DUMMYFUNCTION("IMPORTRANGE(""https://docs.google.com/spreadsheets/d/1eHaY18a8A9IcSdp1K8H6x8fbOy06t2VsZHhMHf-1x7Y/edit?usp=sharing"",""แผน!EL65"")"),3)</f>
        <v>3</v>
      </c>
      <c r="J346" s="426">
        <f ca="1">IFERROR(__xludf.DUMMYFUNCTION("IMPORTRANGE(""https://docs.google.com/spreadsheets/d/1awYsYK3VOup2i3Pq_Yjnu8DRu_mYwSBnCR2QPthd0rU/edit?usp=sharing"",""ศูนย์รวม!E65"")"),0)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IFERROR(__xludf.DUMMYFUNCTION("IMPORTRANGE(""https://docs.google.com/spreadsheets/d/1awYsYK3VOup2i3Pq_Yjnu8DRu_mYwSBnCR2QPthd0rU/edit?usp=sharing"",""ศูนย์ยกเว้นโฉนด!F65"")"),0)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IFERROR(__xludf.DUMMYFUNCTION("IMPORTRANGE(""https://docs.google.com/spreadsheets/d/1awYsYK3VOup2i3Pq_Yjnu8DRu_mYwSBnCR2QPthd0rU/edit?usp=sharing"",""ศูนย์ยกเว้นโฉนด!G65"")"),11)</f>
        <v>11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615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IFERROR(__xludf.DUMMYFUNCTION("IMPORTRANGE(""https://docs.google.com/spreadsheets/d/1awYsYK3VOup2i3Pq_Yjnu8DRu_mYwSBnCR2QPthd0rU/edit?usp=sharing"",""โฉนดM3!G65"")"),1)</f>
        <v>1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IFERROR(__xludf.DUMMYFUNCTION("IMPORTRANGE(""https://docs.google.com/spreadsheets/d/1awYsYK3VOup2i3Pq_Yjnu8DRu_mYwSBnCR2QPthd0rU/edit?usp=sharing"",""โฉนดM3!H65"")"),614)</f>
        <v>614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227690</v>
      </c>
      <c r="M356" s="715">
        <f ca="1">M357+M358</f>
        <v>175690</v>
      </c>
      <c r="N356" s="715">
        <f ca="1">N357+N358</f>
        <v>58480</v>
      </c>
      <c r="O356" s="715">
        <f t="shared" ref="O356:O364" ca="1" si="48">IF(L356&gt;0,N356*100/L356,0)</f>
        <v>25.684044095041504</v>
      </c>
      <c r="P356" s="715">
        <f t="shared" ref="P356:P364" ca="1" si="49">IF(M356&gt;0,N356*100/M356,0)</f>
        <v>33.285901303432183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227690</v>
      </c>
      <c r="M358" s="427">
        <f t="shared" ca="1" si="50"/>
        <v>175690</v>
      </c>
      <c r="N358" s="427">
        <f t="shared" ca="1" si="50"/>
        <v>58480</v>
      </c>
      <c r="O358" s="427">
        <f t="shared" ca="1" si="48"/>
        <v>25.684044095041504</v>
      </c>
      <c r="P358" s="427">
        <f t="shared" ca="1" si="49"/>
        <v>33.285901303432183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227690</v>
      </c>
      <c r="M359" s="427">
        <f ca="1">M360+M361</f>
        <v>175690</v>
      </c>
      <c r="N359" s="427">
        <f ca="1">N360+N361</f>
        <v>58480</v>
      </c>
      <c r="O359" s="427">
        <f t="shared" ca="1" si="48"/>
        <v>25.684044095041504</v>
      </c>
      <c r="P359" s="427">
        <f t="shared" ca="1" si="49"/>
        <v>33.285901303432183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IFERROR(__xludf.DUMMYFUNCTION("IMPORTRANGE(""https://docs.google.com/spreadsheets/d/1-uDff_7J0KD5mKrp0Vvzr7lt3OU09vwQwhkpOPPYv2Y/edit?usp=sharing"",""งบพรบ!FC65"")"),227690)</f>
        <v>227690</v>
      </c>
      <c r="M361" s="427">
        <f ca="1">IFERROR(__xludf.DUMMYFUNCTION("IMPORTRANGE(""https://docs.google.com/spreadsheets/d/1-uDff_7J0KD5mKrp0Vvzr7lt3OU09vwQwhkpOPPYv2Y/edit?usp=sharing"",""งบพรบ!FH65"")"),175690)</f>
        <v>175690</v>
      </c>
      <c r="N361" s="427">
        <f ca="1">IFERROR(__xludf.DUMMYFUNCTION("IMPORTRANGE(""https://docs.google.com/spreadsheets/d/1-uDff_7J0KD5mKrp0Vvzr7lt3OU09vwQwhkpOPPYv2Y/edit?usp=sharing"",""งบพรบ!FJ65"")"),58480)</f>
        <v>58480</v>
      </c>
      <c r="O361" s="427">
        <f t="shared" ca="1" si="48"/>
        <v>25.684044095041504</v>
      </c>
      <c r="P361" s="427">
        <f t="shared" ca="1" si="49"/>
        <v>33.285901303432183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IFERROR(__xludf.DUMMYFUNCTION("IMPORTRANGE(""https://docs.google.com/spreadsheets/d/1-uDff_7J0KD5mKrp0Vvzr7lt3OU09vwQwhkpOPPYv2Y/edit?usp=sharing"",""งบพรบ!FF65"")"),0)</f>
        <v>0</v>
      </c>
      <c r="M364" s="427">
        <f ca="1">IFERROR(__xludf.DUMMYFUNCTION("IMPORTRANGE(""https://docs.google.com/spreadsheets/d/1-uDff_7J0KD5mKrp0Vvzr7lt3OU09vwQwhkpOPPYv2Y/edit?usp=sharing"",""งบพรบ!FI65"")"),0)</f>
        <v>0</v>
      </c>
      <c r="N364" s="427">
        <f ca="1">IFERROR(__xludf.DUMMYFUNCTION("IMPORTRANGE(""https://docs.google.com/spreadsheets/d/1-uDff_7J0KD5mKrp0Vvzr7lt3OU09vwQwhkpOPPYv2Y/edit?usp=sharing"",""งบพรบ!FK65"")"),0)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29</v>
      </c>
      <c r="J365" s="440">
        <f ca="1">J371</f>
        <v>4</v>
      </c>
      <c r="K365" s="441">
        <f ca="1">IF(I365&gt;0,J365*100/I365,0)</f>
        <v>13.793103448275861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IFERROR(__xludf.DUMMYFUNCTION("IMPORTRANGE(""https://docs.google.com/spreadsheets/d/1tdoBKaGub7dwA3U6UFTqxio9LNnvDCQjHKmttSEBsFQ/edit?usp=sharing"",""จัดที่ดิน!AB65"")"),0)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IFERROR(__xludf.DUMMYFUNCTION("IMPORTRANGE(""https://docs.google.com/spreadsheets/d/1eHaY18a8A9IcSdp1K8H6x8fbOy06t2VsZHhMHf-1x7Y/edit?usp=sharing"",""แผน!EW65"")"),205)</f>
        <v>205</v>
      </c>
      <c r="J368" s="704">
        <f ca="1">IFERROR(__xludf.DUMMYFUNCTION("IMPORTRANGE(""https://docs.google.com/spreadsheets/d/1tdoBKaGub7dwA3U6UFTqxio9LNnvDCQjHKmttSEBsFQ/edit?usp=sharing"",""จัดที่ดิน!AC65"")"),0)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IFERROR(__xludf.DUMMYFUNCTION("IMPORTRANGE(""https://docs.google.com/spreadsheets/d/1eHaY18a8A9IcSdp1K8H6x8fbOy06t2VsZHhMHf-1x7Y/edit?usp=sharing"",""แผน!EX65"")"),35)</f>
        <v>35</v>
      </c>
      <c r="J369" s="426">
        <f ca="1">IFERROR(__xludf.DUMMYFUNCTION("IMPORTRANGE(""https://docs.google.com/spreadsheets/d/1tdoBKaGub7dwA3U6UFTqxio9LNnvDCQjHKmttSEBsFQ/edit?usp=sharing"",""จัดที่ดิน!AD65"")"),4)</f>
        <v>4</v>
      </c>
      <c r="K369" s="427">
        <f t="shared" ca="1" si="51"/>
        <v>11.428571428571429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IFERROR(__xludf.DUMMYFUNCTION("IMPORTRANGE(""https://docs.google.com/spreadsheets/d/1tdoBKaGub7dwA3U6UFTqxio9LNnvDCQjHKmttSEBsFQ/edit?usp=sharing"",""จัดที่ดิน!AE65"")"),56.73)</f>
        <v>56.73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IFERROR(__xludf.DUMMYFUNCTION("IMPORTRANGE(""https://docs.google.com/spreadsheets/d/1eHaY18a8A9IcSdp1K8H6x8fbOy06t2VsZHhMHf-1x7Y/edit?usp=sharing"",""แผน!EY65"")"),29)</f>
        <v>29</v>
      </c>
      <c r="J371" s="426">
        <f ca="1">IFERROR(__xludf.DUMMYFUNCTION("IMPORTRANGE(""https://docs.google.com/spreadsheets/d/1tdoBKaGub7dwA3U6UFTqxio9LNnvDCQjHKmttSEBsFQ/edit?usp=sharing"",""จัดที่ดิน!AF65"")"),4)</f>
        <v>4</v>
      </c>
      <c r="K371" s="427">
        <f t="shared" ca="1" si="51"/>
        <v>13.793103448275861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IFERROR(__xludf.DUMMYFUNCTION("IMPORTRANGE(""https://docs.google.com/spreadsheets/d/1tdoBKaGub7dwA3U6UFTqxio9LNnvDCQjHKmttSEBsFQ/edit?usp=sharing"",""จัดที่ดิน!AG65"")"),56.73)</f>
        <v>56.73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IFERROR(__xludf.DUMMYFUNCTION("IMPORTRANGE(""https://docs.google.com/spreadsheets/d/1-uDff_7J0KD5mKrp0Vvzr7lt3OU09vwQwhkpOPPYv2Y/edit?usp=sharing"",""งบพรบ!FM65"")"),0)</f>
        <v>0</v>
      </c>
      <c r="M382" s="502">
        <f ca="1">IFERROR(__xludf.DUMMYFUNCTION("IMPORTRANGE(""https://docs.google.com/spreadsheets/d/1-uDff_7J0KD5mKrp0Vvzr7lt3OU09vwQwhkpOPPYv2Y/edit?usp=sharing"",""งบพรบ!FR65"")"),0)</f>
        <v>0</v>
      </c>
      <c r="N382" s="502">
        <f ca="1">IFERROR(__xludf.DUMMYFUNCTION("IMPORTRANGE(""https://docs.google.com/spreadsheets/d/1-uDff_7J0KD5mKrp0Vvzr7lt3OU09vwQwhkpOPPYv2Y/edit?usp=sharing"",""งบพรบ!FT65"")"),0)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IFERROR(__xludf.DUMMYFUNCTION("IMPORTRANGE(""https://docs.google.com/spreadsheets/d/1-uDff_7J0KD5mKrp0Vvzr7lt3OU09vwQwhkpOPPYv2Y/edit?usp=sharing"",""งบพรบ!FP65"")"),0)</f>
        <v>0</v>
      </c>
      <c r="M385" s="502">
        <f ca="1">IFERROR(__xludf.DUMMYFUNCTION("IMPORTRANGE(""https://docs.google.com/spreadsheets/d/1-uDff_7J0KD5mKrp0Vvzr7lt3OU09vwQwhkpOPPYv2Y/edit?usp=sharing"",""งบพรบ!FS65"")"),0)</f>
        <v>0</v>
      </c>
      <c r="N385" s="502">
        <f ca="1">IFERROR(__xludf.DUMMYFUNCTION("IMPORTRANGE(""https://docs.google.com/spreadsheets/d/1-uDff_7J0KD5mKrp0Vvzr7lt3OU09vwQwhkpOPPYv2Y/edit?usp=sharing"",""งบพรบ!FU65"")"),0)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630CF-DFD8-49CB-B074-BB3702764525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266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1244850</v>
      </c>
      <c r="M18" s="843">
        <f ca="1">M19+M20</f>
        <v>1172040</v>
      </c>
      <c r="N18" s="843">
        <f ca="1">N19+N20</f>
        <v>520836.33</v>
      </c>
      <c r="O18" s="843">
        <f t="shared" ref="O18:O26" ca="1" si="0">IF(L18&gt;0,N18*100/L18,0)</f>
        <v>41.839284251114591</v>
      </c>
      <c r="P18" s="843">
        <f t="shared" ref="P18:P26" ca="1" si="1">IF(M18&gt;0,N18*100/M18,0)</f>
        <v>44.438443227193609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1244850</v>
      </c>
      <c r="M20" s="947">
        <f t="shared" ca="1" si="2"/>
        <v>1172040</v>
      </c>
      <c r="N20" s="947">
        <f t="shared" ca="1" si="2"/>
        <v>520836.33</v>
      </c>
      <c r="O20" s="947">
        <f t="shared" ca="1" si="0"/>
        <v>41.839284251114591</v>
      </c>
      <c r="P20" s="947">
        <f t="shared" ca="1" si="1"/>
        <v>44.438443227193609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1244850</v>
      </c>
      <c r="M21" s="427">
        <f ca="1">M22+M23</f>
        <v>1172040</v>
      </c>
      <c r="N21" s="427">
        <f ca="1">N22+N23</f>
        <v>520836.33</v>
      </c>
      <c r="O21" s="427">
        <f t="shared" ca="1" si="0"/>
        <v>41.839284251114591</v>
      </c>
      <c r="P21" s="427">
        <f t="shared" ca="1" si="1"/>
        <v>44.438443227193609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1244850</v>
      </c>
      <c r="M23" s="427">
        <f t="shared" ca="1" si="3"/>
        <v>1172040</v>
      </c>
      <c r="N23" s="427">
        <f t="shared" ca="1" si="3"/>
        <v>520836.33</v>
      </c>
      <c r="O23" s="427">
        <f t="shared" ca="1" si="0"/>
        <v>41.839284251114591</v>
      </c>
      <c r="P23" s="427">
        <f t="shared" ca="1" si="1"/>
        <v>44.438443227193609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1244850</v>
      </c>
      <c r="M40" s="940">
        <f ca="1">M44+M59+M72+M94+M125+M139+M157+M173+M186+M266+M282+M303+M320+M333+M356</f>
        <v>1172040</v>
      </c>
      <c r="N40" s="940">
        <f ca="1">N44+N59+N72+N94+N125+N139+N157+N173+N186+N266+N282+N303+N320+N333+N356</f>
        <v>520836.33</v>
      </c>
      <c r="O40" s="940">
        <f ca="1">IF(L40&gt;0,N40*100/L40,0)</f>
        <v>41.839284251114591</v>
      </c>
      <c r="P40" s="940">
        <f ca="1">IF(M40&gt;0,N40*100/M40,0)</f>
        <v>44.438443227193609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217800</v>
      </c>
      <c r="M44" s="925">
        <f ca="1">M45+M46</f>
        <v>217800</v>
      </c>
      <c r="N44" s="925">
        <f ca="1">N45+N46</f>
        <v>77000</v>
      </c>
      <c r="O44" s="925">
        <f t="shared" ref="O44:O52" ca="1" si="5">IF(L44&gt;0,N44*100/L44,0)</f>
        <v>35.353535353535356</v>
      </c>
      <c r="P44" s="925">
        <f t="shared" ref="P44:P52" ca="1" si="6">IF(M44&gt;0,N44*100/M44,0)</f>
        <v>35.353535353535356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217800</v>
      </c>
      <c r="M46" s="917">
        <f t="shared" ca="1" si="7"/>
        <v>217800</v>
      </c>
      <c r="N46" s="917">
        <f t="shared" ca="1" si="7"/>
        <v>77000</v>
      </c>
      <c r="O46" s="917">
        <f t="shared" ca="1" si="5"/>
        <v>35.353535353535356</v>
      </c>
      <c r="P46" s="917">
        <f t="shared" ca="1" si="6"/>
        <v>35.353535353535356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217800</v>
      </c>
      <c r="M47" s="427">
        <f ca="1">M48+M49</f>
        <v>217800</v>
      </c>
      <c r="N47" s="427">
        <f ca="1">N48+N49</f>
        <v>77000</v>
      </c>
      <c r="O47" s="427">
        <f t="shared" ca="1" si="5"/>
        <v>35.353535353535356</v>
      </c>
      <c r="P47" s="427">
        <f t="shared" ca="1" si="6"/>
        <v>35.353535353535356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IFERROR(__xludf.DUMMYFUNCTION("IMPORTRANGE(""https://docs.google.com/spreadsheets/d/1-uDff_7J0KD5mKrp0Vvzr7lt3OU09vwQwhkpOPPYv2Y/edit?usp=sharing"",""งบพรบ!P66"")"),217800)</f>
        <v>217800</v>
      </c>
      <c r="M49" s="427">
        <f ca="1">IFERROR(__xludf.DUMMYFUNCTION("IMPORTRANGE(""https://docs.google.com/spreadsheets/d/1-uDff_7J0KD5mKrp0Vvzr7lt3OU09vwQwhkpOPPYv2Y/edit?usp=sharing"",""งบพรบ!V66"")"),217800)</f>
        <v>217800</v>
      </c>
      <c r="N49" s="427">
        <f ca="1">IFERROR(__xludf.DUMMYFUNCTION("IMPORTRANGE(""https://docs.google.com/spreadsheets/d/1-uDff_7J0KD5mKrp0Vvzr7lt3OU09vwQwhkpOPPYv2Y/edit?usp=sharing"",""งบพรบ!Y66"")"),77000)</f>
        <v>77000</v>
      </c>
      <c r="O49" s="427">
        <f t="shared" ca="1" si="5"/>
        <v>35.353535353535356</v>
      </c>
      <c r="P49" s="427">
        <f t="shared" ca="1" si="6"/>
        <v>35.353535353535356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IFERROR(__xludf.DUMMYFUNCTION("IMPORTRANGE(""https://docs.google.com/spreadsheets/d/1-uDff_7J0KD5mKrp0Vvzr7lt3OU09vwQwhkpOPPYv2Y/edit?usp=sharing"",""งบพรบ!S66"")"),0)</f>
        <v>0</v>
      </c>
      <c r="M52" s="427">
        <f ca="1">IFERROR(__xludf.DUMMYFUNCTION("IMPORTRANGE(""https://docs.google.com/spreadsheets/d/1-uDff_7J0KD5mKrp0Vvzr7lt3OU09vwQwhkpOPPYv2Y/edit?usp=sharing"",""งบพรบ!W66"")"),0)</f>
        <v>0</v>
      </c>
      <c r="N52" s="427">
        <f ca="1">IFERROR(__xludf.DUMMYFUNCTION("IMPORTRANGE(""https://docs.google.com/spreadsheets/d/1-uDff_7J0KD5mKrp0Vvzr7lt3OU09vwQwhkpOPPYv2Y/edit?usp=sharing"",""งบพรบ!Z66"")"),0)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219400</v>
      </c>
      <c r="M59" s="899">
        <f ca="1">M60+M61</f>
        <v>325040</v>
      </c>
      <c r="N59" s="899">
        <f ca="1">N60+N61</f>
        <v>172036.42</v>
      </c>
      <c r="O59" s="899">
        <f t="shared" ref="O59:O67" ca="1" si="8">IF(L59&gt;0,N59*100/L59,0)</f>
        <v>78.412224247948956</v>
      </c>
      <c r="P59" s="899">
        <f t="shared" ref="P59:P67" ca="1" si="9">IF(M59&gt;0,N59*100/M59,0)</f>
        <v>52.927768889982772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219400</v>
      </c>
      <c r="M61" s="891">
        <f t="shared" ca="1" si="10"/>
        <v>325040</v>
      </c>
      <c r="N61" s="891">
        <f t="shared" ca="1" si="10"/>
        <v>172036.42</v>
      </c>
      <c r="O61" s="891">
        <f t="shared" ca="1" si="8"/>
        <v>78.412224247948956</v>
      </c>
      <c r="P61" s="891">
        <f t="shared" ca="1" si="9"/>
        <v>52.927768889982772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219400</v>
      </c>
      <c r="M62" s="427">
        <f ca="1">M63+M64</f>
        <v>325040</v>
      </c>
      <c r="N62" s="427">
        <f ca="1">N63+N64</f>
        <v>172036.42</v>
      </c>
      <c r="O62" s="427">
        <f t="shared" ca="1" si="8"/>
        <v>78.412224247948956</v>
      </c>
      <c r="P62" s="427">
        <f t="shared" ca="1" si="9"/>
        <v>52.927768889982772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IFERROR(__xludf.DUMMYFUNCTION("IMPORTRANGE(""https://docs.google.com/spreadsheets/d/1-uDff_7J0KD5mKrp0Vvzr7lt3OU09vwQwhkpOPPYv2Y/edit?usp=sharing"",""งบพรบ!AC66"")"),219400)</f>
        <v>219400</v>
      </c>
      <c r="M64" s="427">
        <f ca="1">IFERROR(__xludf.DUMMYFUNCTION("IMPORTRANGE(""https://docs.google.com/spreadsheets/d/1-uDff_7J0KD5mKrp0Vvzr7lt3OU09vwQwhkpOPPYv2Y/edit?usp=sharing"",""งบพรบ!AH66"")"),325040)</f>
        <v>325040</v>
      </c>
      <c r="N64" s="427">
        <f ca="1">IFERROR(__xludf.DUMMYFUNCTION("IMPORTRANGE(""https://docs.google.com/spreadsheets/d/1-uDff_7J0KD5mKrp0Vvzr7lt3OU09vwQwhkpOPPYv2Y/edit?usp=sharing"",""งบพรบ!AJ66"")"),172036.42)</f>
        <v>172036.42</v>
      </c>
      <c r="O64" s="427">
        <f t="shared" ca="1" si="8"/>
        <v>78.412224247948956</v>
      </c>
      <c r="P64" s="427">
        <f t="shared" ca="1" si="9"/>
        <v>52.927768889982772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IFERROR(__xludf.DUMMYFUNCTION("IMPORTRANGE(""https://docs.google.com/spreadsheets/d/1-uDff_7J0KD5mKrp0Vvzr7lt3OU09vwQwhkpOPPYv2Y/edit?usp=sharing"",""งบพรบ!AF66"")"),0)</f>
        <v>0</v>
      </c>
      <c r="M67" s="624">
        <f ca="1">IFERROR(__xludf.DUMMYFUNCTION("IMPORTRANGE(""https://docs.google.com/spreadsheets/d/1-uDff_7J0KD5mKrp0Vvzr7lt3OU09vwQwhkpOPPYv2Y/edit?usp=sharing"",""งบพรบ!AI66"")"),0)</f>
        <v>0</v>
      </c>
      <c r="N67" s="624">
        <f ca="1">IFERROR(__xludf.DUMMYFUNCTION("IMPORTRANGE(""https://docs.google.com/spreadsheets/d/1-uDff_7J0KD5mKrp0Vvzr7lt3OU09vwQwhkpOPPYv2Y/edit?usp=sharing"",""งบพรบ!AK66"")"),0)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IFERROR(__xludf.DUMMYFUNCTION("IMPORTRANGE(""https://docs.google.com/spreadsheets/d/1-uDff_7J0KD5mKrp0Vvzr7lt3OU09vwQwhkpOPPYv2Y/edit?usp=sharing"",""งบพรบ!AM66"")"),0)</f>
        <v>0</v>
      </c>
      <c r="M77" s="427">
        <f ca="1">IFERROR(__xludf.DUMMYFUNCTION("IMPORTRANGE(""https://docs.google.com/spreadsheets/d/1-uDff_7J0KD5mKrp0Vvzr7lt3OU09vwQwhkpOPPYv2Y/edit?usp=sharing"",""งบพรบ!AR66"")"),0)</f>
        <v>0</v>
      </c>
      <c r="N77" s="427">
        <f ca="1">IFERROR(__xludf.DUMMYFUNCTION("IMPORTRANGE(""https://docs.google.com/spreadsheets/d/1-uDff_7J0KD5mKrp0Vvzr7lt3OU09vwQwhkpOPPYv2Y/edit?usp=sharing"",""งบพรบ!AT66"")"),0)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IFERROR(__xludf.DUMMYFUNCTION("IMPORTRANGE(""https://docs.google.com/spreadsheets/d/1-uDff_7J0KD5mKrp0Vvzr7lt3OU09vwQwhkpOPPYv2Y/edit?usp=sharing"",""งบพรบ!AP66"")"),0)</f>
        <v>0</v>
      </c>
      <c r="M80" s="427">
        <f ca="1">IFERROR(__xludf.DUMMYFUNCTION("IMPORTRANGE(""https://docs.google.com/spreadsheets/d/1-uDff_7J0KD5mKrp0Vvzr7lt3OU09vwQwhkpOPPYv2Y/edit?usp=sharing"",""งบพรบ!AS66"")"),0)</f>
        <v>0</v>
      </c>
      <c r="N80" s="427">
        <f ca="1">IFERROR(__xludf.DUMMYFUNCTION("IMPORTRANGE(""https://docs.google.com/spreadsheets/d/1-uDff_7J0KD5mKrp0Vvzr7lt3OU09vwQwhkpOPPYv2Y/edit?usp=sharing"",""งบพรบ!AU66"")"),0)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IFERROR(__xludf.DUMMYFUNCTION("IMPORTRANGE(""https://docs.google.com/spreadsheets/d/1eHaY18a8A9IcSdp1K8H6x8fbOy06t2VsZHhMHf-1x7Y/edit?usp=sharing"",""แผน!H66"")"),0)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IFERROR(__xludf.DUMMYFUNCTION("IMPORTRANGE(""https://docs.google.com/spreadsheets/d/1eHaY18a8A9IcSdp1K8H6x8fbOy06t2VsZHhMHf-1x7Y/edit?usp=sharing"",""แผน!I66"")"),0)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IFERROR(__xludf.DUMMYFUNCTION("IMPORTRANGE(""https://docs.google.com/spreadsheets/d/1eHaY18a8A9IcSdp1K8H6x8fbOy06t2VsZHhMHf-1x7Y/edit?usp=sharing"",""แผน!F66"")"),0)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IFERROR(__xludf.DUMMYFUNCTION("IMPORTRANGE(""https://docs.google.com/spreadsheets/d/1eHaY18a8A9IcSdp1K8H6x8fbOy06t2VsZHhMHf-1x7Y/edit?usp=sharing"",""แผน!G66"")"),0)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IFERROR(__xludf.DUMMYFUNCTION("IMPORTRANGE(""https://docs.google.com/spreadsheets/d/1eHaY18a8A9IcSdp1K8H6x8fbOy06t2VsZHhMHf-1x7Y/edit?usp=sharing"",""แผน!D66"")"),0)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IFERROR(__xludf.DUMMYFUNCTION("IMPORTRANGE(""https://docs.google.com/spreadsheets/d/1eHaY18a8A9IcSdp1K8H6x8fbOy06t2VsZHhMHf-1x7Y/edit?usp=sharing"",""แผน!E66"")"),0)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IFERROR(__xludf.DUMMYFUNCTION("IMPORTRANGE(""https://docs.google.com/spreadsheets/d/1eHaY18a8A9IcSdp1K8H6x8fbOy06t2VsZHhMHf-1x7Y/edit?usp=sharing"",""แผน!J66"")"),0)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IFERROR(__xludf.DUMMYFUNCTION("IMPORTRANGE(""https://docs.google.com/spreadsheets/d/1-uDff_7J0KD5mKrp0Vvzr7lt3OU09vwQwhkpOPPYv2Y/edit?usp=sharing"",""งบพรบ!AW66"")"),0)</f>
        <v>0</v>
      </c>
      <c r="M99" s="427">
        <f ca="1">IFERROR(__xludf.DUMMYFUNCTION("IMPORTRANGE(""https://docs.google.com/spreadsheets/d/1-uDff_7J0KD5mKrp0Vvzr7lt3OU09vwQwhkpOPPYv2Y/edit?usp=sharing"",""งบพรบ!BB66"")"),0)</f>
        <v>0</v>
      </c>
      <c r="N99" s="427">
        <f ca="1">IFERROR(__xludf.DUMMYFUNCTION("IMPORTRANGE(""https://docs.google.com/spreadsheets/d/1-uDff_7J0KD5mKrp0Vvzr7lt3OU09vwQwhkpOPPYv2Y/edit?usp=sharing"",""งบพรบ!BD66"")"),0)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IFERROR(__xludf.DUMMYFUNCTION("IMPORTRANGE(""https://docs.google.com/spreadsheets/d/1-uDff_7J0KD5mKrp0Vvzr7lt3OU09vwQwhkpOPPYv2Y/edit?usp=sharing"",""งบพรบ!AZ66"")"),0)</f>
        <v>0</v>
      </c>
      <c r="M102" s="427">
        <f ca="1">IFERROR(__xludf.DUMMYFUNCTION("IMPORTRANGE(""https://docs.google.com/spreadsheets/d/1-uDff_7J0KD5mKrp0Vvzr7lt3OU09vwQwhkpOPPYv2Y/edit?usp=sharing"",""งบพรบ!BC66"")"),0)</f>
        <v>0</v>
      </c>
      <c r="N102" s="427">
        <f ca="1">IFERROR(__xludf.DUMMYFUNCTION("IMPORTRANGE(""https://docs.google.com/spreadsheets/d/1-uDff_7J0KD5mKrp0Vvzr7lt3OU09vwQwhkpOPPYv2Y/edit?usp=sharing"",""งบพรบ!BE66"")"),0)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IFERROR(__xludf.DUMMYFUNCTION("IMPORTRANGE(""https://docs.google.com/spreadsheets/d/1eHaY18a8A9IcSdp1K8H6x8fbOy06t2VsZHhMHf-1x7Y/edit?usp=sharing"",""แผน!N66"")"),0)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IFERROR(__xludf.DUMMYFUNCTION("IMPORTRANGE(""https://docs.google.com/spreadsheets/d/1eHaY18a8A9IcSdp1K8H6x8fbOy06t2VsZHhMHf-1x7Y/edit?usp=sharing"",""แผน!O66"")"),0)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IFERROR(__xludf.DUMMYFUNCTION("IMPORTRANGE(""https://docs.google.com/spreadsheets/d/1eHaY18a8A9IcSdp1K8H6x8fbOy06t2VsZHhMHf-1x7Y/edit?usp=sharing"",""แผน!R66"")"),0)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IFERROR(__xludf.DUMMYFUNCTION("IMPORTRANGE(""https://docs.google.com/spreadsheets/d/1-uDff_7J0KD5mKrp0Vvzr7lt3OU09vwQwhkpOPPYv2Y/edit?usp=sharing"",""งบพรบ!BG66"")"),0)</f>
        <v>0</v>
      </c>
      <c r="M130" s="864">
        <f ca="1">IFERROR(__xludf.DUMMYFUNCTION("IMPORTRANGE(""https://docs.google.com/spreadsheets/d/1-uDff_7J0KD5mKrp0Vvzr7lt3OU09vwQwhkpOPPYv2Y/edit?usp=sharing"",""งบพรบ!BL66"")"),0)</f>
        <v>0</v>
      </c>
      <c r="N130" s="864">
        <f ca="1">IFERROR(__xludf.DUMMYFUNCTION("IMPORTRANGE(""https://docs.google.com/spreadsheets/d/1-uDff_7J0KD5mKrp0Vvzr7lt3OU09vwQwhkpOPPYv2Y/edit?usp=sharing"",""งบพรบ!BN66"")"),0)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IFERROR(__xludf.DUMMYFUNCTION("IMPORTRANGE(""https://docs.google.com/spreadsheets/d/1-uDff_7J0KD5mKrp0Vvzr7lt3OU09vwQwhkpOPPYv2Y/edit?usp=sharing"",""งบพรบ!BJ66"")"),0)</f>
        <v>0</v>
      </c>
      <c r="M133" s="864">
        <f ca="1">IFERROR(__xludf.DUMMYFUNCTION("IMPORTRANGE(""https://docs.google.com/spreadsheets/d/1-uDff_7J0KD5mKrp0Vvzr7lt3OU09vwQwhkpOPPYv2Y/edit?usp=sharing"",""งบพรบ!BM66"")"),0)</f>
        <v>0</v>
      </c>
      <c r="N133" s="864">
        <f ca="1">IFERROR(__xludf.DUMMYFUNCTION("IMPORTRANGE(""https://docs.google.com/spreadsheets/d/1-uDff_7J0KD5mKrp0Vvzr7lt3OU09vwQwhkpOPPYv2Y/edit?usp=sharing"",""งบพรบ!BO66"")"),0)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IFERROR(__xludf.DUMMYFUNCTION("IMPORTRANGE(""https://docs.google.com/spreadsheets/d/1-uDff_7J0KD5mKrp0Vvzr7lt3OU09vwQwhkpOPPYv2Y/edit?usp=sharing"",""งบพรบ!BQ66"")"),0)</f>
        <v>0</v>
      </c>
      <c r="M144" s="427">
        <f ca="1">IFERROR(__xludf.DUMMYFUNCTION("IMPORTRANGE(""https://docs.google.com/spreadsheets/d/1-uDff_7J0KD5mKrp0Vvzr7lt3OU09vwQwhkpOPPYv2Y/edit?usp=sharing"",""งบพรบ!BV66"")"),0)</f>
        <v>0</v>
      </c>
      <c r="N144" s="427">
        <f ca="1">IFERROR(__xludf.DUMMYFUNCTION("IMPORTRANGE(""https://docs.google.com/spreadsheets/d/1-uDff_7J0KD5mKrp0Vvzr7lt3OU09vwQwhkpOPPYv2Y/edit?usp=sharing"",""งบพรบ!BX66"")"),0)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IFERROR(__xludf.DUMMYFUNCTION("IMPORTRANGE(""https://docs.google.com/spreadsheets/d/1-uDff_7J0KD5mKrp0Vvzr7lt3OU09vwQwhkpOPPYv2Y/edit?usp=sharing"",""งบพรบ!BT66"")"),0)</f>
        <v>0</v>
      </c>
      <c r="M147" s="427">
        <f ca="1">IFERROR(__xludf.DUMMYFUNCTION("IMPORTRANGE(""https://docs.google.com/spreadsheets/d/1-uDff_7J0KD5mKrp0Vvzr7lt3OU09vwQwhkpOPPYv2Y/edit?usp=sharing"",""งบพรบ!BW66"")"),0)</f>
        <v>0</v>
      </c>
      <c r="N147" s="427">
        <f ca="1">IFERROR(__xludf.DUMMYFUNCTION("IMPORTRANGE(""https://docs.google.com/spreadsheets/d/1-uDff_7J0KD5mKrp0Vvzr7lt3OU09vwQwhkpOPPYv2Y/edit?usp=sharing"",""งบพรบ!BY66"")"),0)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IFERROR(__xludf.DUMMYFUNCTION("IMPORTRANGE(""https://docs.google.com/spreadsheets/d/1eHaY18a8A9IcSdp1K8H6x8fbOy06t2VsZHhMHf-1x7Y/edit?usp=sharing"",""แผน!U66"")"),0)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IFERROR(__xludf.DUMMYFUNCTION("IMPORTRANGE(""https://docs.google.com/spreadsheets/d/1eHaY18a8A9IcSdp1K8H6x8fbOy06t2VsZHhMHf-1x7Y/edit?usp=sharing"",""แผน!V66"")"),0)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IFERROR(__xludf.DUMMYFUNCTION("IMPORTRANGE(""https://docs.google.com/spreadsheets/d/1eHaY18a8A9IcSdp1K8H6x8fbOy06t2VsZHhMHf-1x7Y/edit?usp=sharing"",""แผน!W66"")"),0)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IFERROR(__xludf.DUMMYFUNCTION("IMPORTRANGE(""https://docs.google.com/spreadsheets/d/1eHaY18a8A9IcSdp1K8H6x8fbOy06t2VsZHhMHf-1x7Y/edit?usp=sharing"",""แผน!X66"")"),0)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IFERROR(__xludf.DUMMYFUNCTION("IMPORTRANGE(""https://docs.google.com/spreadsheets/d/1eHaY18a8A9IcSdp1K8H6x8fbOy06t2VsZHhMHf-1x7Y/edit?usp=sharing"",""แผน!Y66"")"),0)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IFERROR(__xludf.DUMMYFUNCTION("IMPORTRANGE(""https://docs.google.com/spreadsheets/d/1-uDff_7J0KD5mKrp0Vvzr7lt3OU09vwQwhkpOPPYv2Y/edit?usp=sharing"",""งบพรบ!CA66"")"),0)</f>
        <v>0</v>
      </c>
      <c r="M162" s="427">
        <f ca="1">IFERROR(__xludf.DUMMYFUNCTION("IMPORTRANGE(""https://docs.google.com/spreadsheets/d/1-uDff_7J0KD5mKrp0Vvzr7lt3OU09vwQwhkpOPPYv2Y/edit?usp=sharing"",""งบพรบ!CF66"")"),0)</f>
        <v>0</v>
      </c>
      <c r="N162" s="427">
        <f ca="1">IFERROR(__xludf.DUMMYFUNCTION("IMPORTRANGE(""https://docs.google.com/spreadsheets/d/1-uDff_7J0KD5mKrp0Vvzr7lt3OU09vwQwhkpOPPYv2Y/edit?usp=sharing"",""งบพรบ!CH66"")"),0)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IFERROR(__xludf.DUMMYFUNCTION("IMPORTRANGE(""https://docs.google.com/spreadsheets/d/1-uDff_7J0KD5mKrp0Vvzr7lt3OU09vwQwhkpOPPYv2Y/edit?usp=sharing"",""งบพรบ!CD66"")"),0)</f>
        <v>0</v>
      </c>
      <c r="M165" s="427">
        <f ca="1">IFERROR(__xludf.DUMMYFUNCTION("IMPORTRANGE(""https://docs.google.com/spreadsheets/d/1-uDff_7J0KD5mKrp0Vvzr7lt3OU09vwQwhkpOPPYv2Y/edit?usp=sharing"",""งบพรบ!CG66"")"),0)</f>
        <v>0</v>
      </c>
      <c r="N165" s="427">
        <f ca="1">IFERROR(__xludf.DUMMYFUNCTION("IMPORTRANGE(""https://docs.google.com/spreadsheets/d/1-uDff_7J0KD5mKrp0Vvzr7lt3OU09vwQwhkpOPPYv2Y/edit?usp=sharing"",""งบพรบ!CI66"")"),0)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IFERROR(__xludf.DUMMYFUNCTION("IMPORTRANGE(""https://docs.google.com/spreadsheets/d/1eHaY18a8A9IcSdp1K8H6x8fbOy06t2VsZHhMHf-1x7Y/edit?usp=sharing"",""แผน!Z66"")"),0)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IFERROR(__xludf.DUMMYFUNCTION("IMPORTRANGE(""https://docs.google.com/spreadsheets/d/1eHaY18a8A9IcSdp1K8H6x8fbOy06t2VsZHhMHf-1x7Y/edit?usp=sharing"",""แผน!Z66"")"),0)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IFERROR(__xludf.DUMMYFUNCTION("IMPORTRANGE(""https://docs.google.com/spreadsheets/d/1eHaY18a8A9IcSdp1K8H6x8fbOy06t2VsZHhMHf-1x7Y/edit?usp=sharing"",""แผน!Z66"")"),0)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IFERROR(__xludf.DUMMYFUNCTION("IMPORTRANGE(""https://docs.google.com/spreadsheets/d/1-uDff_7J0KD5mKrp0Vvzr7lt3OU09vwQwhkpOPPYv2Y/edit?usp=sharing"",""งบพรบ!CK66"")"),19590)</f>
        <v>19590</v>
      </c>
      <c r="M178" s="427">
        <f ca="1">IFERROR(__xludf.DUMMYFUNCTION("IMPORTRANGE(""https://docs.google.com/spreadsheets/d/1-uDff_7J0KD5mKrp0Vvzr7lt3OU09vwQwhkpOPPYv2Y/edit?usp=sharing"",""งบพรบ!CP66"")"),19590)</f>
        <v>19590</v>
      </c>
      <c r="N178" s="427">
        <f ca="1">IFERROR(__xludf.DUMMYFUNCTION("IMPORTRANGE(""https://docs.google.com/spreadsheets/d/1-uDff_7J0KD5mKrp0Vvzr7lt3OU09vwQwhkpOPPYv2Y/edit?usp=sharing"",""งบพรบ!CR66"")"),0)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IFERROR(__xludf.DUMMYFUNCTION("IMPORTRANGE(""https://docs.google.com/spreadsheets/d/1-uDff_7J0KD5mKrp0Vvzr7lt3OU09vwQwhkpOPPYv2Y/edit?usp=sharing"",""งบพรบ!CN66"")"),0)</f>
        <v>0</v>
      </c>
      <c r="M181" s="427">
        <f ca="1">IFERROR(__xludf.DUMMYFUNCTION("IMPORTRANGE(""https://docs.google.com/spreadsheets/d/1-uDff_7J0KD5mKrp0Vvzr7lt3OU09vwQwhkpOPPYv2Y/edit?usp=sharing"",""งบพรบ!CQ66"")"),0)</f>
        <v>0</v>
      </c>
      <c r="N181" s="427">
        <f ca="1">IFERROR(__xludf.DUMMYFUNCTION("IMPORTRANGE(""https://docs.google.com/spreadsheets/d/1-uDff_7J0KD5mKrp0Vvzr7lt3OU09vwQwhkpOPPYv2Y/edit?usp=sharing"",""งบพรบ!CS66"")"),0)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IFERROR(__xludf.DUMMYFUNCTION("IMPORTRANGE(""https://docs.google.com/spreadsheets/d/1eHaY18a8A9IcSdp1K8H6x8fbOy06t2VsZHhMHf-1x7Y/edit?usp=sharing"",""แผน!AA66"")"),7)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15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150200</v>
      </c>
      <c r="M186" s="715">
        <f ca="1">M187+M188</f>
        <v>118500</v>
      </c>
      <c r="N186" s="715">
        <f ca="1">N187+N188</f>
        <v>47851.6</v>
      </c>
      <c r="O186" s="715">
        <f t="shared" ref="O186:O194" ca="1" si="30">IF(L186&gt;0,N186*100/L186,0)</f>
        <v>31.858588548601865</v>
      </c>
      <c r="P186" s="715">
        <f t="shared" ref="P186:P194" ca="1" si="31">IF(M186&gt;0,N186*100/M186,0)</f>
        <v>40.381097046413501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150200</v>
      </c>
      <c r="M188" s="427">
        <f t="shared" ca="1" si="32"/>
        <v>118500</v>
      </c>
      <c r="N188" s="427">
        <f t="shared" ca="1" si="32"/>
        <v>47851.6</v>
      </c>
      <c r="O188" s="427">
        <f t="shared" ca="1" si="30"/>
        <v>31.858588548601865</v>
      </c>
      <c r="P188" s="427">
        <f t="shared" ca="1" si="31"/>
        <v>40.381097046413501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150200</v>
      </c>
      <c r="M189" s="427">
        <f ca="1">M190+M191</f>
        <v>118500</v>
      </c>
      <c r="N189" s="427">
        <f ca="1">N190+N191</f>
        <v>47851.6</v>
      </c>
      <c r="O189" s="427">
        <f t="shared" ca="1" si="30"/>
        <v>31.858588548601865</v>
      </c>
      <c r="P189" s="427">
        <f t="shared" ca="1" si="31"/>
        <v>40.381097046413501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IFERROR(__xludf.DUMMYFUNCTION("IMPORTRANGE(""https://docs.google.com/spreadsheets/d/1-uDff_7J0KD5mKrp0Vvzr7lt3OU09vwQwhkpOPPYv2Y/edit?usp=sharing"",""งบพรบ!CU66"")"),150200)</f>
        <v>150200</v>
      </c>
      <c r="M191" s="427">
        <f ca="1">IFERROR(__xludf.DUMMYFUNCTION("IMPORTRANGE(""https://docs.google.com/spreadsheets/d/1-uDff_7J0KD5mKrp0Vvzr7lt3OU09vwQwhkpOPPYv2Y/edit?usp=sharing"",""งบพรบ!CZ66"")"),118500)</f>
        <v>118500</v>
      </c>
      <c r="N191" s="427">
        <f ca="1">IFERROR(__xludf.DUMMYFUNCTION("IMPORTRANGE(""https://docs.google.com/spreadsheets/d/1-uDff_7J0KD5mKrp0Vvzr7lt3OU09vwQwhkpOPPYv2Y/edit?usp=sharing"",""งบพรบ!DB66"")"),47851.6)</f>
        <v>47851.6</v>
      </c>
      <c r="O191" s="427">
        <f t="shared" ca="1" si="30"/>
        <v>31.858588548601865</v>
      </c>
      <c r="P191" s="427">
        <f t="shared" ca="1" si="31"/>
        <v>40.381097046413501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IFERROR(__xludf.DUMMYFUNCTION("IMPORTRANGE(""https://docs.google.com/spreadsheets/d/1-uDff_7J0KD5mKrp0Vvzr7lt3OU09vwQwhkpOPPYv2Y/edit?usp=sharing"",""งบพรบ!CX66"")"),0)</f>
        <v>0</v>
      </c>
      <c r="M194" s="427">
        <f ca="1">IFERROR(__xludf.DUMMYFUNCTION("IMPORTRANGE(""https://docs.google.com/spreadsheets/d/1-uDff_7J0KD5mKrp0Vvzr7lt3OU09vwQwhkpOPPYv2Y/edit?usp=sharing"",""งบพรบ!DA66"")"),0)</f>
        <v>0</v>
      </c>
      <c r="N194" s="427">
        <f ca="1">IFERROR(__xludf.DUMMYFUNCTION("IMPORTRANGE(""https://docs.google.com/spreadsheets/d/1-uDff_7J0KD5mKrp0Vvzr7lt3OU09vwQwhkpOPPYv2Y/edit?usp=sharing"",""งบพรบ!DC66"")"),0)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IFERROR(__xludf.DUMMYFUNCTION("IMPORTRANGE(""https://docs.google.com/spreadsheets/d/1eHaY18a8A9IcSdp1K8H6x8fbOy06t2VsZHhMHf-1x7Y/edit?usp=sharing"",""แผน!AB66"")"),6000)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IFERROR(__xludf.DUMMYFUNCTION("IMPORTRANGE(""https://docs.google.com/spreadsheets/d/1eHaY18a8A9IcSdp1K8H6x8fbOy06t2VsZHhMHf-1x7Y/edit?usp=sharing"",""แผน!AE66"")"),4)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IFERROR(__xludf.DUMMYFUNCTION("IMPORTRANGE(""https://docs.google.com/spreadsheets/d/1eHaY18a8A9IcSdp1K8H6x8fbOy06t2VsZHhMHf-1x7Y/edit?usp=sharing"",""แผน!AG66"")"),1000)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IFERROR(__xludf.DUMMYFUNCTION("IMPORTRANGE(""https://docs.google.com/spreadsheets/d/1eHaY18a8A9IcSdp1K8H6x8fbOy06t2VsZHhMHf-1x7Y/edit?usp=sharing"",""แผน!AH66"")"),0)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IFERROR(__xludf.DUMMYFUNCTION("IMPORTRANGE(""https://docs.google.com/spreadsheets/d/1eHaY18a8A9IcSdp1K8H6x8fbOy06t2VsZHhMHf-1x7Y/edit?usp=sharing"",""แผน!AI66"")"),8000)</f>
        <v>8000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IFERROR(__xludf.DUMMYFUNCTION("IMPORTRANGE(""https://docs.google.com/spreadsheets/d/1eHaY18a8A9IcSdp1K8H6x8fbOy06t2VsZHhMHf-1x7Y/edit?usp=sharing"",""แผน!AJ66"")"),4000)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IFERROR(__xludf.DUMMYFUNCTION("IMPORTRANGE(""https://docs.google.com/spreadsheets/d/1eHaY18a8A9IcSdp1K8H6x8fbOy06t2VsZHhMHf-1x7Y/edit?usp=sharing"",""แผน!AK66"")"),1)</f>
        <v>1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IFERROR(__xludf.DUMMYFUNCTION("IMPORTRANGE(""https://docs.google.com/spreadsheets/d/1eHaY18a8A9IcSdp1K8H6x8fbOy06t2VsZHhMHf-1x7Y/edit?usp=sharing"",""แผน!JX66"")"),1)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IFERROR(__xludf.DUMMYFUNCTION("IMPORTRANGE(""https://docs.google.com/spreadsheets/d/1eHaY18a8A9IcSdp1K8H6x8fbOy06t2VsZHhMHf-1x7Y/edit?usp=sharing"",""แผน!JY66"")"),0)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IFERROR(__xludf.DUMMYFUNCTION("IMPORTRANGE(""https://docs.google.com/spreadsheets/d/1eHaY18a8A9IcSdp1K8H6x8fbOy06t2VsZHhMHf-1x7Y/edit?usp=sharing"",""แผน!AM66"")"),0)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IFERROR(__xludf.DUMMYFUNCTION("IMPORTRANGE(""https://docs.google.com/spreadsheets/d/1eHaY18a8A9IcSdp1K8H6x8fbOy06t2VsZHhMHf-1x7Y/edit?usp=sharing"",""แผน!AN66"")"),0)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IFERROR(__xludf.DUMMYFUNCTION("IMPORTRANGE(""https://docs.google.com/spreadsheets/d/1eHaY18a8A9IcSdp1K8H6x8fbOy06t2VsZHhMHf-1x7Y/edit?usp=sharing"",""แผน!AO66"")"),0)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IFERROR(__xludf.DUMMYFUNCTION("IMPORTRANGE(""https://docs.google.com/spreadsheets/d/1eHaY18a8A9IcSdp1K8H6x8fbOy06t2VsZHhMHf-1x7Y/edit?usp=sharing"",""แผน!AP66"")"),0)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IFERROR(__xludf.DUMMYFUNCTION("IMPORTRANGE(""https://docs.google.com/spreadsheets/d/1eHaY18a8A9IcSdp1K8H6x8fbOy06t2VsZHhMHf-1x7Y/edit?usp=sharing"",""แผน!AP66"")"),0)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6400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IFERROR(__xludf.DUMMYFUNCTION("IMPORTRANGE(""https://docs.google.com/spreadsheets/d/1eHaY18a8A9IcSdp1K8H6x8fbOy06t2VsZHhMHf-1x7Y/edit?usp=sharing"",""แผน!AR66"")"),3000)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IFERROR(__xludf.DUMMYFUNCTION("IMPORTRANGE(""https://docs.google.com/spreadsheets/d/1eHaY18a8A9IcSdp1K8H6x8fbOy06t2VsZHhMHf-1x7Y/edit?usp=sharing"",""แผน!AS66"")"),1500)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IFERROR(__xludf.DUMMYFUNCTION("IMPORTRANGE(""https://docs.google.com/spreadsheets/d/1eHaY18a8A9IcSdp1K8H6x8fbOy06t2VsZHhMHf-1x7Y/edit?usp=sharing"",""แผน!AT66"")"),0)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IFERROR(__xludf.DUMMYFUNCTION("IMPORTRANGE(""https://docs.google.com/spreadsheets/d/1eHaY18a8A9IcSdp1K8H6x8fbOy06t2VsZHhMHf-1x7Y/edit?usp=sharing"",""แผน!AV66"")"),6400)</f>
        <v>6400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IFERROR(__xludf.DUMMYFUNCTION("IMPORTRANGE(""https://docs.google.com/spreadsheets/d/1eHaY18a8A9IcSdp1K8H6x8fbOy06t2VsZHhMHf-1x7Y/edit?usp=sharing"",""แผน!AV66"")"),6400)</f>
        <v>6400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IFERROR(__xludf.DUMMYFUNCTION("IMPORTRANGE(""https://docs.google.com/spreadsheets/d/1eHaY18a8A9IcSdp1K8H6x8fbOy06t2VsZHhMHf-1x7Y/edit?usp=sharing"",""แผน!AU66"")"),0)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597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15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6"/>
      <c r="C232" s="51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49500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6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24000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15500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513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83" t="s">
        <v>33</v>
      </c>
      <c r="I238" s="201">
        <f ca="1">I249+I260</f>
        <v>15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513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83" t="s">
        <v>33</v>
      </c>
      <c r="I240" s="201">
        <f ca="1">I251+I262</f>
        <v>15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83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283" t="s">
        <v>160</v>
      </c>
      <c r="D242" s="284"/>
      <c r="E242" s="284"/>
      <c r="F242" s="284"/>
      <c r="G242" s="285"/>
      <c r="H242" s="286" t="s">
        <v>33</v>
      </c>
      <c r="I242" s="287">
        <f ca="1">I249</f>
        <v>15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49500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IFERROR(__xludf.DUMMYFUNCTION("IMPORTRANGE(""https://docs.google.com/spreadsheets/d/1eHaY18a8A9IcSdp1K8H6x8fbOy06t2VsZHhMHf-1x7Y/edit?usp=sharing"",""แผน!AX66"")"),8000)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IFERROR(__xludf.DUMMYFUNCTION("IMPORTRANGE(""https://docs.google.com/spreadsheets/d/1eHaY18a8A9IcSdp1K8H6x8fbOy06t2VsZHhMHf-1x7Y/edit?usp=sharing"",""แผน!AY66"")"),2000)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IFERROR(__xludf.DUMMYFUNCTION("IMPORTRANGE(""https://docs.google.com/spreadsheets/d/1eHaY18a8A9IcSdp1K8H6x8fbOy06t2VsZHhMHf-1x7Y/edit?usp=sharing"",""แผน!AZ66"")"),24000)</f>
        <v>24000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IFERROR(__xludf.DUMMYFUNCTION("IMPORTRANGE(""https://docs.google.com/spreadsheets/d/1eHaY18a8A9IcSdp1K8H6x8fbOy06t2VsZHhMHf-1x7Y/edit?usp=sharing"",""แผน!BA66"")"),15500)</f>
        <v>15500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IFERROR(__xludf.DUMMYFUNCTION("IMPORTRANGE(""https://docs.google.com/spreadsheets/d/1eHaY18a8A9IcSdp1K8H6x8fbOy06t2VsZHhMHf-1x7Y/edit?usp=sharing"",""แผน!BG66"")"),15)</f>
        <v>15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IFERROR(__xludf.DUMMYFUNCTION("IMPORTRANGE(""https://docs.google.com/spreadsheets/d/1eHaY18a8A9IcSdp1K8H6x8fbOy06t2VsZHhMHf-1x7Y/edit?usp=sharing"",""แผน!KD66"")"),15)</f>
        <v>15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IFERROR(__xludf.DUMMYFUNCTION("IMPORTRANGE(""https://docs.google.com/spreadsheets/d/1eHaY18a8A9IcSdp1K8H6x8fbOy06t2VsZHhMHf-1x7Y/edit?usp=sharing"",""แผน!KE66"")"),1)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IFERROR(__xludf.DUMMYFUNCTION("IMPORTRANGE(""https://docs.google.com/spreadsheets/d/1eHaY18a8A9IcSdp1K8H6x8fbOy06t2VsZHhMHf-1x7Y/edit?usp=sharing"",""แผน!BB66"")"),0)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IFERROR(__xludf.DUMMYFUNCTION("IMPORTRANGE(""https://docs.google.com/spreadsheets/d/1eHaY18a8A9IcSdp1K8H6x8fbOy06t2VsZHhMHf-1x7Y/edit?usp=sharing"",""แผน!BC66"")"),0)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IFERROR(__xludf.DUMMYFUNCTION("IMPORTRANGE(""https://docs.google.com/spreadsheets/d/1eHaY18a8A9IcSdp1K8H6x8fbOy06t2VsZHhMHf-1x7Y/edit?usp=sharing"",""แผน!BD66"")"),0)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IFERROR(__xludf.DUMMYFUNCTION("IMPORTRANGE(""https://docs.google.com/spreadsheets/d/1eHaY18a8A9IcSdp1K8H6x8fbOy06t2VsZHhMHf-1x7Y/edit?usp=sharing"",""แผน!BE66"")"),0)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IFERROR(__xludf.DUMMYFUNCTION("IMPORTRANGE(""https://docs.google.com/spreadsheets/d/1eHaY18a8A9IcSdp1K8H6x8fbOy06t2VsZHhMHf-1x7Y/edit?usp=sharing"",""แผน!BH66"")"),0)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IFERROR(__xludf.DUMMYFUNCTION("IMPORTRANGE(""https://docs.google.com/spreadsheets/d/1-uDff_7J0KD5mKrp0Vvzr7lt3OU09vwQwhkpOPPYv2Y/edit?usp=sharing"",""งบพรบ!DE66"")"),0)</f>
        <v>0</v>
      </c>
      <c r="M271" s="502">
        <f ca="1">IFERROR(__xludf.DUMMYFUNCTION("IMPORTRANGE(""https://docs.google.com/spreadsheets/d/1-uDff_7J0KD5mKrp0Vvzr7lt3OU09vwQwhkpOPPYv2Y/edit?usp=sharing"",""งบพรบ!DJ66"")"),0)</f>
        <v>0</v>
      </c>
      <c r="N271" s="502">
        <f ca="1">IFERROR(__xludf.DUMMYFUNCTION("IMPORTRANGE(""https://docs.google.com/spreadsheets/d/1-uDff_7J0KD5mKrp0Vvzr7lt3OU09vwQwhkpOPPYv2Y/edit?usp=sharing"",""งบพรบ!DL66"")"),0)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IFERROR(__xludf.DUMMYFUNCTION("IMPORTRANGE(""https://docs.google.com/spreadsheets/d/1-uDff_7J0KD5mKrp0Vvzr7lt3OU09vwQwhkpOPPYv2Y/edit?usp=sharing"",""งบพรบ!DH66"")"),0)</f>
        <v>0</v>
      </c>
      <c r="M274" s="502">
        <f ca="1">IFERROR(__xludf.DUMMYFUNCTION("IMPORTRANGE(""https://docs.google.com/spreadsheets/d/1-uDff_7J0KD5mKrp0Vvzr7lt3OU09vwQwhkpOPPYv2Y/edit?usp=sharing"",""งบพรบ!DK66"")"),0)</f>
        <v>0</v>
      </c>
      <c r="N274" s="502">
        <f ca="1">IFERROR(__xludf.DUMMYFUNCTION("IMPORTRANGE(""https://docs.google.com/spreadsheets/d/1-uDff_7J0KD5mKrp0Vvzr7lt3OU09vwQwhkpOPPYv2Y/edit?usp=sharing"",""งบพรบ!DM66"")"),0)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IFERROR(__xludf.DUMMYFUNCTION("IMPORTRANGE(""https://docs.google.com/spreadsheets/d/1-uDff_7J0KD5mKrp0Vvzr7lt3OU09vwQwhkpOPPYv2Y/edit?usp=sharing"",""งบพรบ!DO66"")"),0)</f>
        <v>0</v>
      </c>
      <c r="M287" s="427">
        <f ca="1">IFERROR(__xludf.DUMMYFUNCTION("IMPORTRANGE(""https://docs.google.com/spreadsheets/d/1-uDff_7J0KD5mKrp0Vvzr7lt3OU09vwQwhkpOPPYv2Y/edit?usp=sharing"",""งบพรบ!DT66"")"),0)</f>
        <v>0</v>
      </c>
      <c r="N287" s="427">
        <f ca="1">IFERROR(__xludf.DUMMYFUNCTION("IMPORTRANGE(""https://docs.google.com/spreadsheets/d/1-uDff_7J0KD5mKrp0Vvzr7lt3OU09vwQwhkpOPPYv2Y/edit?usp=sharing"",""งบพรบ!DV66"")"),0)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IFERROR(__xludf.DUMMYFUNCTION("IMPORTRANGE(""https://docs.google.com/spreadsheets/d/1-uDff_7J0KD5mKrp0Vvzr7lt3OU09vwQwhkpOPPYv2Y/edit?usp=sharing"",""งบพรบ!DR66"")"),0)</f>
        <v>0</v>
      </c>
      <c r="M290" s="427">
        <f ca="1">IFERROR(__xludf.DUMMYFUNCTION("IMPORTRANGE(""https://docs.google.com/spreadsheets/d/1-uDff_7J0KD5mKrp0Vvzr7lt3OU09vwQwhkpOPPYv2Y/edit?usp=sharing"",""งบพรบ!DU66"")"),0)</f>
        <v>0</v>
      </c>
      <c r="N290" s="427">
        <f ca="1">IFERROR(__xludf.DUMMYFUNCTION("IMPORTRANGE(""https://docs.google.com/spreadsheets/d/1-uDff_7J0KD5mKrp0Vvzr7lt3OU09vwQwhkpOPPYv2Y/edit?usp=sharing"",""งบพรบ!DW66"")"),0)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IFERROR(__xludf.DUMMYFUNCTION("IMPORTRANGE(""https://docs.google.com/spreadsheets/d/1eHaY18a8A9IcSdp1K8H6x8fbOy06t2VsZHhMHf-1x7Y/edit?usp=sharing"",""แผน!EE66"")"),0)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IFERROR(__xludf.DUMMYFUNCTION("IMPORTRANGE(""https://docs.google.com/spreadsheets/d/1eHaY18a8A9IcSdp1K8H6x8fbOy06t2VsZHhMHf-1x7Y/edit?usp=sharing"",""แผน!ED66"")"),0)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IFERROR(__xludf.DUMMYFUNCTION("IMPORTRANGE(""https://docs.google.com/spreadsheets/d/1eHaY18a8A9IcSdp1K8H6x8fbOy06t2VsZHhMHf-1x7Y/edit?usp=sharing"",""แผน!ED66"")"),0)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IFERROR(__xludf.DUMMYFUNCTION("IMPORTRANGE(""https://docs.google.com/spreadsheets/d/1eHaY18a8A9IcSdp1K8H6x8fbOy06t2VsZHhMHf-1x7Y/edit?usp=sharing"",""แผน!ED66"")"),0)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25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101000</v>
      </c>
      <c r="M303" s="715">
        <f ca="1">M304+M305</f>
        <v>78500</v>
      </c>
      <c r="N303" s="715">
        <f ca="1">N304+N305</f>
        <v>56925</v>
      </c>
      <c r="O303" s="715">
        <f t="shared" ref="O303:O311" ca="1" si="39">IF(L303&gt;0,N303*100/L303,0)</f>
        <v>56.361386138613859</v>
      </c>
      <c r="P303" s="715">
        <f t="shared" ref="P303:P311" ca="1" si="40">IF(M303&gt;0,N303*100/M303,0)</f>
        <v>72.515923566878982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101000</v>
      </c>
      <c r="M305" s="427">
        <f t="shared" ca="1" si="41"/>
        <v>78500</v>
      </c>
      <c r="N305" s="427">
        <f t="shared" ca="1" si="41"/>
        <v>56925</v>
      </c>
      <c r="O305" s="427">
        <f t="shared" ca="1" si="39"/>
        <v>56.361386138613859</v>
      </c>
      <c r="P305" s="427">
        <f t="shared" ca="1" si="40"/>
        <v>72.515923566878982</v>
      </c>
    </row>
    <row r="306" spans="1:16" ht="18.75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101000</v>
      </c>
      <c r="M306" s="427">
        <f ca="1">M307+M308</f>
        <v>78500</v>
      </c>
      <c r="N306" s="427">
        <f ca="1">N307+N308</f>
        <v>56925</v>
      </c>
      <c r="O306" s="427">
        <f t="shared" ca="1" si="39"/>
        <v>56.361386138613859</v>
      </c>
      <c r="P306" s="427">
        <f t="shared" ca="1" si="40"/>
        <v>72.515923566878982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IFERROR(__xludf.DUMMYFUNCTION("IMPORTRANGE(""https://docs.google.com/spreadsheets/d/1-uDff_7J0KD5mKrp0Vvzr7lt3OU09vwQwhkpOPPYv2Y/edit?usp=sharing"",""งบพรบ!DY66"")"),101000)</f>
        <v>101000</v>
      </c>
      <c r="M308" s="427">
        <f ca="1">IFERROR(__xludf.DUMMYFUNCTION("IMPORTRANGE(""https://docs.google.com/spreadsheets/d/1-uDff_7J0KD5mKrp0Vvzr7lt3OU09vwQwhkpOPPYv2Y/edit?usp=sharing"",""งบพรบ!ED66"")"),78500)</f>
        <v>78500</v>
      </c>
      <c r="N308" s="427">
        <f ca="1">IFERROR(__xludf.DUMMYFUNCTION("IMPORTRANGE(""https://docs.google.com/spreadsheets/d/1-uDff_7J0KD5mKrp0Vvzr7lt3OU09vwQwhkpOPPYv2Y/edit?usp=sharing"",""งบพรบ!EF66"")"),56925)</f>
        <v>56925</v>
      </c>
      <c r="O308" s="427">
        <f t="shared" ca="1" si="39"/>
        <v>56.361386138613859</v>
      </c>
      <c r="P308" s="427">
        <f t="shared" ca="1" si="40"/>
        <v>72.515923566878982</v>
      </c>
    </row>
    <row r="309" spans="1:16" ht="18.75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IFERROR(__xludf.DUMMYFUNCTION("IMPORTRANGE(""https://docs.google.com/spreadsheets/d/1-uDff_7J0KD5mKrp0Vvzr7lt3OU09vwQwhkpOPPYv2Y/edit?usp=sharing"",""งบพรบ!EB66"")"),0)</f>
        <v>0</v>
      </c>
      <c r="M311" s="427">
        <f ca="1">IFERROR(__xludf.DUMMYFUNCTION("IMPORTRANGE(""https://docs.google.com/spreadsheets/d/1-uDff_7J0KD5mKrp0Vvzr7lt3OU09vwQwhkpOPPYv2Y/edit?usp=sharing"",""งบพรบ!EE66"")"),0)</f>
        <v>0</v>
      </c>
      <c r="N311" s="427">
        <f ca="1">IFERROR(__xludf.DUMMYFUNCTION("IMPORTRANGE(""https://docs.google.com/spreadsheets/d/1-uDff_7J0KD5mKrp0Vvzr7lt3OU09vwQwhkpOPPYv2Y/edit?usp=sharing"",""งบพรบ!EG66"")"),0)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IFERROR(__xludf.DUMMYFUNCTION("IMPORTRANGE(""https://docs.google.com/spreadsheets/d/1eHaY18a8A9IcSdp1K8H6x8fbOy06t2VsZHhMHf-1x7Y/edit?usp=sharing"",""แผน!EF66"")"),25)</f>
        <v>25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IFERROR(__xludf.DUMMYFUNCTION("IMPORTRANGE(""https://docs.google.com/spreadsheets/d/1eHaY18a8A9IcSdp1K8H6x8fbOy06t2VsZHhMHf-1x7Y/edit?usp=sharing"",""แผน!EG66"")"),5)</f>
        <v>5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IFERROR(__xludf.DUMMYFUNCTION("IMPORTRANGE(""https://docs.google.com/spreadsheets/d/1eHaY18a8A9IcSdp1K8H6x8fbOy06t2VsZHhMHf-1x7Y/edit?usp=sharing"",""แผน!EH66"")"),25)</f>
        <v>25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IFERROR(__xludf.DUMMYFUNCTION("IMPORTRANGE(""https://docs.google.com/spreadsheets/d/1eHaY18a8A9IcSdp1K8H6x8fbOy06t2VsZHhMHf-1x7Y/edit?usp=sharing"",""แผน!EI66"")"),5)</f>
        <v>5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IFERROR(__xludf.DUMMYFUNCTION("IMPORTRANGE(""https://docs.google.com/spreadsheets/d/1-uDff_7J0KD5mKrp0Vvzr7lt3OU09vwQwhkpOPPYv2Y/edit?usp=sharing"",""งบพรบ!EI66"")"),0)</f>
        <v>0</v>
      </c>
      <c r="M325" s="427">
        <f ca="1">IFERROR(__xludf.DUMMYFUNCTION("IMPORTRANGE(""https://docs.google.com/spreadsheets/d/1-uDff_7J0KD5mKrp0Vvzr7lt3OU09vwQwhkpOPPYv2Y/edit?usp=sharing"",""งบพรบ!EN66"")"),0)</f>
        <v>0</v>
      </c>
      <c r="N325" s="427">
        <f ca="1">IFERROR(__xludf.DUMMYFUNCTION("IMPORTRANGE(""https://docs.google.com/spreadsheets/d/1-uDff_7J0KD5mKrp0Vvzr7lt3OU09vwQwhkpOPPYv2Y/edit?usp=sharing"",""งบพรบ!EP66"")"),0)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IFERROR(__xludf.DUMMYFUNCTION("IMPORTRANGE(""https://docs.google.com/spreadsheets/d/1-uDff_7J0KD5mKrp0Vvzr7lt3OU09vwQwhkpOPPYv2Y/edit?usp=sharing"",""งบพรบ!EL66"")"),0)</f>
        <v>0</v>
      </c>
      <c r="M328" s="427">
        <f ca="1">IFERROR(__xludf.DUMMYFUNCTION("IMPORTRANGE(""https://docs.google.com/spreadsheets/d/1-uDff_7J0KD5mKrp0Vvzr7lt3OU09vwQwhkpOPPYv2Y/edit?usp=sharing"",""งบพรบ!EO66"")"),0)</f>
        <v>0</v>
      </c>
      <c r="N328" s="427">
        <f ca="1">IFERROR(__xludf.DUMMYFUNCTION("IMPORTRANGE(""https://docs.google.com/spreadsheets/d/1-uDff_7J0KD5mKrp0Vvzr7lt3OU09vwQwhkpOPPYv2Y/edit?usp=sharing"",""งบพรบ!EQ66"")"),0)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IFERROR(__xludf.DUMMYFUNCTION("IMPORTRANGE(""https://docs.google.com/spreadsheets/d/1eHaY18a8A9IcSdp1K8H6x8fbOy06t2VsZHhMHf-1x7Y/edit?usp=sharing"",""แผน!EJ66"")"),0)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260</v>
      </c>
      <c r="J332" s="404">
        <f ca="1">J344+J347+J348+J349+J353</f>
        <v>924</v>
      </c>
      <c r="K332" s="405">
        <f ca="1">IF(I332&gt;0,J332*100/I332,0)</f>
        <v>355.38461538461536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150100</v>
      </c>
      <c r="M333" s="715">
        <f ca="1">M334+M335</f>
        <v>115850</v>
      </c>
      <c r="N333" s="715">
        <f ca="1">N334+N335</f>
        <v>57798.11</v>
      </c>
      <c r="O333" s="715">
        <f t="shared" ref="O333:O341" ca="1" si="45">IF(L333&gt;0,N333*100/L333,0)</f>
        <v>38.506402398401065</v>
      </c>
      <c r="P333" s="715">
        <f t="shared" ref="P333:P341" ca="1" si="46">IF(M333&gt;0,N333*100/M333,0)</f>
        <v>49.890470435908504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150100</v>
      </c>
      <c r="M335" s="427">
        <f t="shared" ca="1" si="47"/>
        <v>115850</v>
      </c>
      <c r="N335" s="427">
        <f t="shared" ca="1" si="47"/>
        <v>57798.11</v>
      </c>
      <c r="O335" s="427">
        <f t="shared" ca="1" si="45"/>
        <v>38.506402398401065</v>
      </c>
      <c r="P335" s="427">
        <f t="shared" ca="1" si="46"/>
        <v>49.890470435908504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150100</v>
      </c>
      <c r="M336" s="427">
        <f ca="1">M337+M338</f>
        <v>115850</v>
      </c>
      <c r="N336" s="427">
        <f ca="1">N337+N338</f>
        <v>57798.11</v>
      </c>
      <c r="O336" s="427">
        <f t="shared" ca="1" si="45"/>
        <v>38.506402398401065</v>
      </c>
      <c r="P336" s="427">
        <f t="shared" ca="1" si="46"/>
        <v>49.890470435908504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IFERROR(__xludf.DUMMYFUNCTION("IMPORTRANGE(""https://docs.google.com/spreadsheets/d/1-uDff_7J0KD5mKrp0Vvzr7lt3OU09vwQwhkpOPPYv2Y/edit?usp=sharing"",""งบพรบ!ES66"")"),150100)</f>
        <v>150100</v>
      </c>
      <c r="M338" s="427">
        <f ca="1">IFERROR(__xludf.DUMMYFUNCTION("IMPORTRANGE(""https://docs.google.com/spreadsheets/d/1-uDff_7J0KD5mKrp0Vvzr7lt3OU09vwQwhkpOPPYv2Y/edit?usp=sharing"",""งบพรบ!EX66"")"),115850)</f>
        <v>115850</v>
      </c>
      <c r="N338" s="427">
        <f ca="1">IFERROR(__xludf.DUMMYFUNCTION("IMPORTRANGE(""https://docs.google.com/spreadsheets/d/1-uDff_7J0KD5mKrp0Vvzr7lt3OU09vwQwhkpOPPYv2Y/edit?usp=sharing"",""งบพรบ!EZ66"")"),57798.11)</f>
        <v>57798.11</v>
      </c>
      <c r="O338" s="427">
        <f t="shared" ca="1" si="45"/>
        <v>38.506402398401065</v>
      </c>
      <c r="P338" s="427">
        <f t="shared" ca="1" si="46"/>
        <v>49.890470435908504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IFERROR(__xludf.DUMMYFUNCTION("IMPORTRANGE(""https://docs.google.com/spreadsheets/d/1-uDff_7J0KD5mKrp0Vvzr7lt3OU09vwQwhkpOPPYv2Y/edit?usp=sharing"",""งบพรบ!EV66"")"),0)</f>
        <v>0</v>
      </c>
      <c r="M341" s="427">
        <f ca="1">IFERROR(__xludf.DUMMYFUNCTION("IMPORTRANGE(""https://docs.google.com/spreadsheets/d/1-uDff_7J0KD5mKrp0Vvzr7lt3OU09vwQwhkpOPPYv2Y/edit?usp=sharing"",""งบพรบ!EY66"")"),0)</f>
        <v>0</v>
      </c>
      <c r="N341" s="427">
        <f ca="1">IFERROR(__xludf.DUMMYFUNCTION("IMPORTRANGE(""https://docs.google.com/spreadsheets/d/1-uDff_7J0KD5mKrp0Vvzr7lt3OU09vwQwhkpOPPYv2Y/edit?usp=sharing"",""งบพรบ!FA66"")"),0)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77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IFERROR(__xludf.DUMMYFUNCTION("IMPORTRANGE(""https://docs.google.com/spreadsheets/d/1eHaY18a8A9IcSdp1K8H6x8fbOy06t2VsZHhMHf-1x7Y/edit?usp=sharing"",""แผน!EK66"")"),260)</f>
        <v>260</v>
      </c>
      <c r="J344" s="426">
        <f ca="1">IFERROR(__xludf.DUMMYFUNCTION("IMPORTRANGE(""https://docs.google.com/spreadsheets/d/1awYsYK3VOup2i3Pq_Yjnu8DRu_mYwSBnCR2QPthd0rU/edit?usp=sharing"",""ศูนย์ยกเว้นโฉนด!D66"")"),73)</f>
        <v>73</v>
      </c>
      <c r="K344" s="427">
        <f ca="1">IF(I344&gt;0,J344*100/I344,0)</f>
        <v>28.076923076923077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IFERROR(__xludf.DUMMYFUNCTION("IMPORTRANGE(""https://docs.google.com/spreadsheets/d/1eHaY18a8A9IcSdp1K8H6x8fbOy06t2VsZHhMHf-1x7Y/edit?usp=sharing"",""แผน!EL66"")"),1)</f>
        <v>1</v>
      </c>
      <c r="J346" s="426">
        <f ca="1">IFERROR(__xludf.DUMMYFUNCTION("IMPORTRANGE(""https://docs.google.com/spreadsheets/d/1awYsYK3VOup2i3Pq_Yjnu8DRu_mYwSBnCR2QPthd0rU/edit?usp=sharing"",""ศูนย์รวม!E66"")"),0)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IFERROR(__xludf.DUMMYFUNCTION("IMPORTRANGE(""https://docs.google.com/spreadsheets/d/1awYsYK3VOup2i3Pq_Yjnu8DRu_mYwSBnCR2QPthd0rU/edit?usp=sharing"",""ศูนย์ยกเว้นโฉนด!G66"")"),4)</f>
        <v>4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889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IFERROR(__xludf.DUMMYFUNCTION("IMPORTRANGE(""https://docs.google.com/spreadsheets/d/1awYsYK3VOup2i3Pq_Yjnu8DRu_mYwSBnCR2QPthd0rU/edit?usp=sharing"",""โฉนดM3!G66"")"),42)</f>
        <v>42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IFERROR(__xludf.DUMMYFUNCTION("IMPORTRANGE(""https://docs.google.com/spreadsheets/d/1awYsYK3VOup2i3Pq_Yjnu8DRu_mYwSBnCR2QPthd0rU/edit?usp=sharing"",""โฉนดM3!H66"")"),847)</f>
        <v>847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386760</v>
      </c>
      <c r="M356" s="715">
        <f ca="1">M357+M358</f>
        <v>296760</v>
      </c>
      <c r="N356" s="715">
        <f ca="1">N357+N358</f>
        <v>109225.2</v>
      </c>
      <c r="O356" s="715">
        <f t="shared" ref="O356:O364" ca="1" si="48">IF(L356&gt;0,N356*100/L356,0)</f>
        <v>28.241079739373255</v>
      </c>
      <c r="P356" s="715">
        <f t="shared" ref="P356:P364" ca="1" si="49">IF(M356&gt;0,N356*100/M356,0)</f>
        <v>36.80590376061464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386760</v>
      </c>
      <c r="M358" s="427">
        <f t="shared" ca="1" si="50"/>
        <v>296760</v>
      </c>
      <c r="N358" s="427">
        <f t="shared" ca="1" si="50"/>
        <v>109225.2</v>
      </c>
      <c r="O358" s="427">
        <f t="shared" ca="1" si="48"/>
        <v>28.241079739373255</v>
      </c>
      <c r="P358" s="427">
        <f t="shared" ca="1" si="49"/>
        <v>36.80590376061464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386760</v>
      </c>
      <c r="M359" s="427">
        <f ca="1">M360+M361</f>
        <v>296760</v>
      </c>
      <c r="N359" s="427">
        <f ca="1">N360+N361</f>
        <v>109225.2</v>
      </c>
      <c r="O359" s="427">
        <f t="shared" ca="1" si="48"/>
        <v>28.241079739373255</v>
      </c>
      <c r="P359" s="427">
        <f t="shared" ca="1" si="49"/>
        <v>36.80590376061464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IFERROR(__xludf.DUMMYFUNCTION("IMPORTRANGE(""https://docs.google.com/spreadsheets/d/1-uDff_7J0KD5mKrp0Vvzr7lt3OU09vwQwhkpOPPYv2Y/edit?usp=sharing"",""งบพรบ!FC66"")"),386760)</f>
        <v>386760</v>
      </c>
      <c r="M361" s="427">
        <f ca="1">IFERROR(__xludf.DUMMYFUNCTION("IMPORTRANGE(""https://docs.google.com/spreadsheets/d/1-uDff_7J0KD5mKrp0Vvzr7lt3OU09vwQwhkpOPPYv2Y/edit?usp=sharing"",""งบพรบ!FH66"")"),296760)</f>
        <v>296760</v>
      </c>
      <c r="N361" s="427">
        <f ca="1">IFERROR(__xludf.DUMMYFUNCTION("IMPORTRANGE(""https://docs.google.com/spreadsheets/d/1-uDff_7J0KD5mKrp0Vvzr7lt3OU09vwQwhkpOPPYv2Y/edit?usp=sharing"",""งบพรบ!FJ66"")"),109225.2)</f>
        <v>109225.2</v>
      </c>
      <c r="O361" s="427">
        <f t="shared" ca="1" si="48"/>
        <v>28.241079739373255</v>
      </c>
      <c r="P361" s="427">
        <f t="shared" ca="1" si="49"/>
        <v>36.80590376061464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IFERROR(__xludf.DUMMYFUNCTION("IMPORTRANGE(""https://docs.google.com/spreadsheets/d/1-uDff_7J0KD5mKrp0Vvzr7lt3OU09vwQwhkpOPPYv2Y/edit?usp=sharing"",""งบพรบ!FF66"")"),0)</f>
        <v>0</v>
      </c>
      <c r="M364" s="427">
        <f ca="1">IFERROR(__xludf.DUMMYFUNCTION("IMPORTRANGE(""https://docs.google.com/spreadsheets/d/1-uDff_7J0KD5mKrp0Vvzr7lt3OU09vwQwhkpOPPYv2Y/edit?usp=sharing"",""งบพรบ!FI66"")"),0)</f>
        <v>0</v>
      </c>
      <c r="N364" s="427">
        <f ca="1">IFERROR(__xludf.DUMMYFUNCTION("IMPORTRANGE(""https://docs.google.com/spreadsheets/d/1-uDff_7J0KD5mKrp0Vvzr7lt3OU09vwQwhkpOPPYv2Y/edit?usp=sharing"",""งบพรบ!FK66"")"),0)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48</v>
      </c>
      <c r="J365" s="440">
        <f ca="1">J371</f>
        <v>1</v>
      </c>
      <c r="K365" s="441">
        <f ca="1">IF(I365&gt;0,J365*100/I365,0)</f>
        <v>2.0833333333333335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IFERROR(__xludf.DUMMYFUNCTION("IMPORTRANGE(""https://docs.google.com/spreadsheets/d/1tdoBKaGub7dwA3U6UFTqxio9LNnvDCQjHKmttSEBsFQ/edit?usp=sharing"",""จัดที่ดิน!AB66"")"),11)</f>
        <v>11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IFERROR(__xludf.DUMMYFUNCTION("IMPORTRANGE(""https://docs.google.com/spreadsheets/d/1eHaY18a8A9IcSdp1K8H6x8fbOy06t2VsZHhMHf-1x7Y/edit?usp=sharing"",""แผน!EW66"")"),460)</f>
        <v>460</v>
      </c>
      <c r="J368" s="704">
        <f ca="1">IFERROR(__xludf.DUMMYFUNCTION("IMPORTRANGE(""https://docs.google.com/spreadsheets/d/1tdoBKaGub7dwA3U6UFTqxio9LNnvDCQjHKmttSEBsFQ/edit?usp=sharing"",""จัดที่ดิน!AC66"")"),109.089999999999)</f>
        <v>109.08999999999899</v>
      </c>
      <c r="K368" s="427">
        <f t="shared" ca="1" si="51"/>
        <v>23.71521739130413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IFERROR(__xludf.DUMMYFUNCTION("IMPORTRANGE(""https://docs.google.com/spreadsheets/d/1eHaY18a8A9IcSdp1K8H6x8fbOy06t2VsZHhMHf-1x7Y/edit?usp=sharing"",""แผน!EX66"")"),65)</f>
        <v>65</v>
      </c>
      <c r="J369" s="426">
        <f ca="1">IFERROR(__xludf.DUMMYFUNCTION("IMPORTRANGE(""https://docs.google.com/spreadsheets/d/1tdoBKaGub7dwA3U6UFTqxio9LNnvDCQjHKmttSEBsFQ/edit?usp=sharing"",""จัดที่ดิน!AD66"")"),68)</f>
        <v>68</v>
      </c>
      <c r="K369" s="427">
        <f t="shared" ca="1" si="51"/>
        <v>104.61538461538461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IFERROR(__xludf.DUMMYFUNCTION("IMPORTRANGE(""https://docs.google.com/spreadsheets/d/1tdoBKaGub7dwA3U6UFTqxio9LNnvDCQjHKmttSEBsFQ/edit?usp=sharing"",""จัดที่ดิน!AE66"")"),798.73)</f>
        <v>798.73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IFERROR(__xludf.DUMMYFUNCTION("IMPORTRANGE(""https://docs.google.com/spreadsheets/d/1eHaY18a8A9IcSdp1K8H6x8fbOy06t2VsZHhMHf-1x7Y/edit?usp=sharing"",""แผน!EY66"")"),48)</f>
        <v>48</v>
      </c>
      <c r="J371" s="426">
        <f ca="1">IFERROR(__xludf.DUMMYFUNCTION("IMPORTRANGE(""https://docs.google.com/spreadsheets/d/1tdoBKaGub7dwA3U6UFTqxio9LNnvDCQjHKmttSEBsFQ/edit?usp=sharing"",""จัดที่ดิน!AF66"")"),1)</f>
        <v>1</v>
      </c>
      <c r="K371" s="427">
        <f t="shared" ca="1" si="51"/>
        <v>2.0833333333333335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IFERROR(__xludf.DUMMYFUNCTION("IMPORTRANGE(""https://docs.google.com/spreadsheets/d/1tdoBKaGub7dwA3U6UFTqxio9LNnvDCQjHKmttSEBsFQ/edit?usp=sharing"",""จัดที่ดิน!AG66"")"),49.52)</f>
        <v>49.52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IFERROR(__xludf.DUMMYFUNCTION("IMPORTRANGE(""https://docs.google.com/spreadsheets/d/1-uDff_7J0KD5mKrp0Vvzr7lt3OU09vwQwhkpOPPYv2Y/edit?usp=sharing"",""งบพรบ!FM66"")"),0)</f>
        <v>0</v>
      </c>
      <c r="M382" s="502">
        <f ca="1">IFERROR(__xludf.DUMMYFUNCTION("IMPORTRANGE(""https://docs.google.com/spreadsheets/d/1-uDff_7J0KD5mKrp0Vvzr7lt3OU09vwQwhkpOPPYv2Y/edit?usp=sharing"",""งบพรบ!FR66"")"),0)</f>
        <v>0</v>
      </c>
      <c r="N382" s="502">
        <f ca="1">IFERROR(__xludf.DUMMYFUNCTION("IMPORTRANGE(""https://docs.google.com/spreadsheets/d/1-uDff_7J0KD5mKrp0Vvzr7lt3OU09vwQwhkpOPPYv2Y/edit?usp=sharing"",""งบพรบ!FT66"")"),0)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IFERROR(__xludf.DUMMYFUNCTION("IMPORTRANGE(""https://docs.google.com/spreadsheets/d/1-uDff_7J0KD5mKrp0Vvzr7lt3OU09vwQwhkpOPPYv2Y/edit?usp=sharing"",""งบพรบ!FP66"")"),0)</f>
        <v>0</v>
      </c>
      <c r="M385" s="502">
        <f ca="1">IFERROR(__xludf.DUMMYFUNCTION("IMPORTRANGE(""https://docs.google.com/spreadsheets/d/1-uDff_7J0KD5mKrp0Vvzr7lt3OU09vwQwhkpOPPYv2Y/edit?usp=sharing"",""งบพรบ!FS66"")"),0)</f>
        <v>0</v>
      </c>
      <c r="N385" s="502">
        <f ca="1">IFERROR(__xludf.DUMMYFUNCTION("IMPORTRANGE(""https://docs.google.com/spreadsheets/d/1-uDff_7J0KD5mKrp0Vvzr7lt3OU09vwQwhkpOPPYv2Y/edit?usp=sharing"",""งบพรบ!FU66"")"),0)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EBED-ACAE-4A45-BD9F-0BB781B4EBDF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267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1542175</v>
      </c>
      <c r="M18" s="843">
        <f ca="1">M19+M20</f>
        <v>1241375</v>
      </c>
      <c r="N18" s="843">
        <f ca="1">N19+N20</f>
        <v>630303.66</v>
      </c>
      <c r="O18" s="843">
        <f t="shared" ref="O18:O26" ca="1" si="0">IF(L18&gt;0,N18*100/L18,0)</f>
        <v>40.871085317814128</v>
      </c>
      <c r="P18" s="843">
        <f t="shared" ref="P18:P26" ca="1" si="1">IF(M18&gt;0,N18*100/M18,0)</f>
        <v>50.774637800825694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1542175</v>
      </c>
      <c r="M20" s="947">
        <f t="shared" ca="1" si="2"/>
        <v>1241375</v>
      </c>
      <c r="N20" s="947">
        <f t="shared" ca="1" si="2"/>
        <v>630303.66</v>
      </c>
      <c r="O20" s="947">
        <f t="shared" ca="1" si="0"/>
        <v>40.871085317814128</v>
      </c>
      <c r="P20" s="947">
        <f t="shared" ca="1" si="1"/>
        <v>50.774637800825694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1542175</v>
      </c>
      <c r="M21" s="427">
        <f ca="1">M22+M23</f>
        <v>1241375</v>
      </c>
      <c r="N21" s="427">
        <f ca="1">N22+N23</f>
        <v>630303.66</v>
      </c>
      <c r="O21" s="427">
        <f t="shared" ca="1" si="0"/>
        <v>40.871085317814128</v>
      </c>
      <c r="P21" s="427">
        <f t="shared" ca="1" si="1"/>
        <v>50.774637800825694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1542175</v>
      </c>
      <c r="M23" s="427">
        <f t="shared" ca="1" si="3"/>
        <v>1241375</v>
      </c>
      <c r="N23" s="427">
        <f t="shared" ca="1" si="3"/>
        <v>630303.66</v>
      </c>
      <c r="O23" s="427">
        <f t="shared" ca="1" si="0"/>
        <v>40.871085317814128</v>
      </c>
      <c r="P23" s="427">
        <f t="shared" ca="1" si="1"/>
        <v>50.774637800825694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1542175</v>
      </c>
      <c r="M40" s="940">
        <f ca="1">M44+M59+M72+M94+M125+M139+M157+M173+M186+M266+M282+M303+M320+M333+M356</f>
        <v>1241375</v>
      </c>
      <c r="N40" s="940">
        <f ca="1">N44+N59+N72+N94+N125+N139+N157+N173+N186+N266+N282+N303+N320+N333+N356</f>
        <v>630303.66</v>
      </c>
      <c r="O40" s="940">
        <f ca="1">IF(L40&gt;0,N40*100/L40,0)</f>
        <v>40.871085317814128</v>
      </c>
      <c r="P40" s="940">
        <f ca="1">IF(M40&gt;0,N40*100/M40,0)</f>
        <v>50.774637800825694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235300</v>
      </c>
      <c r="M44" s="925">
        <f ca="1">M45+M46</f>
        <v>239800</v>
      </c>
      <c r="N44" s="925">
        <f ca="1">N45+N46</f>
        <v>125700</v>
      </c>
      <c r="O44" s="925">
        <f t="shared" ref="O44:O52" ca="1" si="5">IF(L44&gt;0,N44*100/L44,0)</f>
        <v>53.421164470888229</v>
      </c>
      <c r="P44" s="925">
        <f t="shared" ref="P44:P52" ca="1" si="6">IF(M44&gt;0,N44*100/M44,0)</f>
        <v>52.418682235195995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235300</v>
      </c>
      <c r="M46" s="917">
        <f t="shared" ca="1" si="7"/>
        <v>239800</v>
      </c>
      <c r="N46" s="917">
        <f t="shared" ca="1" si="7"/>
        <v>125700</v>
      </c>
      <c r="O46" s="917">
        <f t="shared" ca="1" si="5"/>
        <v>53.421164470888229</v>
      </c>
      <c r="P46" s="917">
        <f t="shared" ca="1" si="6"/>
        <v>52.418682235195995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235300</v>
      </c>
      <c r="M47" s="427">
        <f ca="1">M48+M49</f>
        <v>239800</v>
      </c>
      <c r="N47" s="427">
        <f ca="1">N48+N49</f>
        <v>125700</v>
      </c>
      <c r="O47" s="427">
        <f t="shared" ca="1" si="5"/>
        <v>53.421164470888229</v>
      </c>
      <c r="P47" s="427">
        <f t="shared" ca="1" si="6"/>
        <v>52.418682235195995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IFERROR(__xludf.DUMMYFUNCTION("IMPORTRANGE(""https://docs.google.com/spreadsheets/d/1-uDff_7J0KD5mKrp0Vvzr7lt3OU09vwQwhkpOPPYv2Y/edit?usp=sharing"",""งบพรบ!P67"")"),235300)</f>
        <v>235300</v>
      </c>
      <c r="M49" s="427">
        <f ca="1">IFERROR(__xludf.DUMMYFUNCTION("IMPORTRANGE(""https://docs.google.com/spreadsheets/d/1-uDff_7J0KD5mKrp0Vvzr7lt3OU09vwQwhkpOPPYv2Y/edit?usp=sharing"",""งบพรบ!V67"")"),239800)</f>
        <v>239800</v>
      </c>
      <c r="N49" s="427">
        <f ca="1">IFERROR(__xludf.DUMMYFUNCTION("IMPORTRANGE(""https://docs.google.com/spreadsheets/d/1-uDff_7J0KD5mKrp0Vvzr7lt3OU09vwQwhkpOPPYv2Y/edit?usp=sharing"",""งบพรบ!Y67"")"),125700)</f>
        <v>125700</v>
      </c>
      <c r="O49" s="427">
        <f t="shared" ca="1" si="5"/>
        <v>53.421164470888229</v>
      </c>
      <c r="P49" s="427">
        <f t="shared" ca="1" si="6"/>
        <v>52.418682235195995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IFERROR(__xludf.DUMMYFUNCTION("IMPORTRANGE(""https://docs.google.com/spreadsheets/d/1-uDff_7J0KD5mKrp0Vvzr7lt3OU09vwQwhkpOPPYv2Y/edit?usp=sharing"",""งบพรบ!S67"")"),0)</f>
        <v>0</v>
      </c>
      <c r="M52" s="427">
        <f ca="1">IFERROR(__xludf.DUMMYFUNCTION("IMPORTRANGE(""https://docs.google.com/spreadsheets/d/1-uDff_7J0KD5mKrp0Vvzr7lt3OU09vwQwhkpOPPYv2Y/edit?usp=sharing"",""งบพรบ!W67"")"),0)</f>
        <v>0</v>
      </c>
      <c r="N52" s="427">
        <f ca="1">IFERROR(__xludf.DUMMYFUNCTION("IMPORTRANGE(""https://docs.google.com/spreadsheets/d/1-uDff_7J0KD5mKrp0Vvzr7lt3OU09vwQwhkpOPPYv2Y/edit?usp=sharing"",""งบพรบ!Z67"")"),0)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412600</v>
      </c>
      <c r="M59" s="899">
        <f ca="1">M60+M61</f>
        <v>311450</v>
      </c>
      <c r="N59" s="899">
        <f ca="1">N60+N61</f>
        <v>255651.66</v>
      </c>
      <c r="O59" s="899">
        <f t="shared" ref="O59:O67" ca="1" si="8">IF(L59&gt;0,N59*100/L59,0)</f>
        <v>61.961139117789628</v>
      </c>
      <c r="P59" s="899">
        <f t="shared" ref="P59:P67" ca="1" si="9">IF(M59&gt;0,N59*100/M59,0)</f>
        <v>82.084334564135489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412600</v>
      </c>
      <c r="M61" s="891">
        <f t="shared" ca="1" si="10"/>
        <v>311450</v>
      </c>
      <c r="N61" s="891">
        <f t="shared" ca="1" si="10"/>
        <v>255651.66</v>
      </c>
      <c r="O61" s="891">
        <f t="shared" ca="1" si="8"/>
        <v>61.961139117789628</v>
      </c>
      <c r="P61" s="891">
        <f t="shared" ca="1" si="9"/>
        <v>82.084334564135489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412600</v>
      </c>
      <c r="M62" s="427">
        <f ca="1">M63+M64</f>
        <v>311450</v>
      </c>
      <c r="N62" s="427">
        <f ca="1">N63+N64</f>
        <v>255651.66</v>
      </c>
      <c r="O62" s="427">
        <f t="shared" ca="1" si="8"/>
        <v>61.961139117789628</v>
      </c>
      <c r="P62" s="427">
        <f t="shared" ca="1" si="9"/>
        <v>82.084334564135489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IFERROR(__xludf.DUMMYFUNCTION("IMPORTRANGE(""https://docs.google.com/spreadsheets/d/1-uDff_7J0KD5mKrp0Vvzr7lt3OU09vwQwhkpOPPYv2Y/edit?usp=sharing"",""งบพรบ!AC67"")"),412600)</f>
        <v>412600</v>
      </c>
      <c r="M64" s="427">
        <f ca="1">IFERROR(__xludf.DUMMYFUNCTION("IMPORTRANGE(""https://docs.google.com/spreadsheets/d/1-uDff_7J0KD5mKrp0Vvzr7lt3OU09vwQwhkpOPPYv2Y/edit?usp=sharing"",""งบพรบ!AH67"")"),311450)</f>
        <v>311450</v>
      </c>
      <c r="N64" s="427">
        <f ca="1">IFERROR(__xludf.DUMMYFUNCTION("IMPORTRANGE(""https://docs.google.com/spreadsheets/d/1-uDff_7J0KD5mKrp0Vvzr7lt3OU09vwQwhkpOPPYv2Y/edit?usp=sharing"",""งบพรบ!AJ67"")"),255651.66)</f>
        <v>255651.66</v>
      </c>
      <c r="O64" s="427">
        <f t="shared" ca="1" si="8"/>
        <v>61.961139117789628</v>
      </c>
      <c r="P64" s="427">
        <f t="shared" ca="1" si="9"/>
        <v>82.084334564135489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IFERROR(__xludf.DUMMYFUNCTION("IMPORTRANGE(""https://docs.google.com/spreadsheets/d/1-uDff_7J0KD5mKrp0Vvzr7lt3OU09vwQwhkpOPPYv2Y/edit?usp=sharing"",""งบพรบ!AF67"")"),0)</f>
        <v>0</v>
      </c>
      <c r="M67" s="624">
        <f ca="1">IFERROR(__xludf.DUMMYFUNCTION("IMPORTRANGE(""https://docs.google.com/spreadsheets/d/1-uDff_7J0KD5mKrp0Vvzr7lt3OU09vwQwhkpOPPYv2Y/edit?usp=sharing"",""งบพรบ!AI67"")"),0)</f>
        <v>0</v>
      </c>
      <c r="N67" s="624">
        <f ca="1">IFERROR(__xludf.DUMMYFUNCTION("IMPORTRANGE(""https://docs.google.com/spreadsheets/d/1-uDff_7J0KD5mKrp0Vvzr7lt3OU09vwQwhkpOPPYv2Y/edit?usp=sharing"",""งบพรบ!AK67"")"),0)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IFERROR(__xludf.DUMMYFUNCTION("IMPORTRANGE(""https://docs.google.com/spreadsheets/d/1-uDff_7J0KD5mKrp0Vvzr7lt3OU09vwQwhkpOPPYv2Y/edit?usp=sharing"",""งบพรบ!AM67"")"),0)</f>
        <v>0</v>
      </c>
      <c r="M77" s="427">
        <f ca="1">IFERROR(__xludf.DUMMYFUNCTION("IMPORTRANGE(""https://docs.google.com/spreadsheets/d/1-uDff_7J0KD5mKrp0Vvzr7lt3OU09vwQwhkpOPPYv2Y/edit?usp=sharing"",""งบพรบ!AR67"")"),0)</f>
        <v>0</v>
      </c>
      <c r="N77" s="427">
        <f ca="1">IFERROR(__xludf.DUMMYFUNCTION("IMPORTRANGE(""https://docs.google.com/spreadsheets/d/1-uDff_7J0KD5mKrp0Vvzr7lt3OU09vwQwhkpOPPYv2Y/edit?usp=sharing"",""งบพรบ!AT67"")"),0)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IFERROR(__xludf.DUMMYFUNCTION("IMPORTRANGE(""https://docs.google.com/spreadsheets/d/1-uDff_7J0KD5mKrp0Vvzr7lt3OU09vwQwhkpOPPYv2Y/edit?usp=sharing"",""งบพรบ!AP67"")"),0)</f>
        <v>0</v>
      </c>
      <c r="M80" s="427">
        <f ca="1">IFERROR(__xludf.DUMMYFUNCTION("IMPORTRANGE(""https://docs.google.com/spreadsheets/d/1-uDff_7J0KD5mKrp0Vvzr7lt3OU09vwQwhkpOPPYv2Y/edit?usp=sharing"",""งบพรบ!AS67"")"),0)</f>
        <v>0</v>
      </c>
      <c r="N80" s="427">
        <f ca="1">IFERROR(__xludf.DUMMYFUNCTION("IMPORTRANGE(""https://docs.google.com/spreadsheets/d/1-uDff_7J0KD5mKrp0Vvzr7lt3OU09vwQwhkpOPPYv2Y/edit?usp=sharing"",""งบพรบ!AU67"")"),0)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IFERROR(__xludf.DUMMYFUNCTION("IMPORTRANGE(""https://docs.google.com/spreadsheets/d/1eHaY18a8A9IcSdp1K8H6x8fbOy06t2VsZHhMHf-1x7Y/edit?usp=sharing"",""แผน!H67"")"),0)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IFERROR(__xludf.DUMMYFUNCTION("IMPORTRANGE(""https://docs.google.com/spreadsheets/d/1eHaY18a8A9IcSdp1K8H6x8fbOy06t2VsZHhMHf-1x7Y/edit?usp=sharing"",""แผน!I67"")"),0)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IFERROR(__xludf.DUMMYFUNCTION("IMPORTRANGE(""https://docs.google.com/spreadsheets/d/1eHaY18a8A9IcSdp1K8H6x8fbOy06t2VsZHhMHf-1x7Y/edit?usp=sharing"",""แผน!F67"")"),0)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IFERROR(__xludf.DUMMYFUNCTION("IMPORTRANGE(""https://docs.google.com/spreadsheets/d/1eHaY18a8A9IcSdp1K8H6x8fbOy06t2VsZHhMHf-1x7Y/edit?usp=sharing"",""แผน!G67"")"),0)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IFERROR(__xludf.DUMMYFUNCTION("IMPORTRANGE(""https://docs.google.com/spreadsheets/d/1eHaY18a8A9IcSdp1K8H6x8fbOy06t2VsZHhMHf-1x7Y/edit?usp=sharing"",""แผน!D67"")"),0)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IFERROR(__xludf.DUMMYFUNCTION("IMPORTRANGE(""https://docs.google.com/spreadsheets/d/1eHaY18a8A9IcSdp1K8H6x8fbOy06t2VsZHhMHf-1x7Y/edit?usp=sharing"",""แผน!E67"")"),0)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IFERROR(__xludf.DUMMYFUNCTION("IMPORTRANGE(""https://docs.google.com/spreadsheets/d/1eHaY18a8A9IcSdp1K8H6x8fbOy06t2VsZHhMHf-1x7Y/edit?usp=sharing"",""แผน!J67"")"),0)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IFERROR(__xludf.DUMMYFUNCTION("IMPORTRANGE(""https://docs.google.com/spreadsheets/d/1-uDff_7J0KD5mKrp0Vvzr7lt3OU09vwQwhkpOPPYv2Y/edit?usp=sharing"",""งบพรบ!AW67"")"),0)</f>
        <v>0</v>
      </c>
      <c r="M99" s="427">
        <f ca="1">IFERROR(__xludf.DUMMYFUNCTION("IMPORTRANGE(""https://docs.google.com/spreadsheets/d/1-uDff_7J0KD5mKrp0Vvzr7lt3OU09vwQwhkpOPPYv2Y/edit?usp=sharing"",""งบพรบ!BB67"")"),0)</f>
        <v>0</v>
      </c>
      <c r="N99" s="427">
        <f ca="1">IFERROR(__xludf.DUMMYFUNCTION("IMPORTRANGE(""https://docs.google.com/spreadsheets/d/1-uDff_7J0KD5mKrp0Vvzr7lt3OU09vwQwhkpOPPYv2Y/edit?usp=sharing"",""งบพรบ!BD67"")"),0)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IFERROR(__xludf.DUMMYFUNCTION("IMPORTRANGE(""https://docs.google.com/spreadsheets/d/1-uDff_7J0KD5mKrp0Vvzr7lt3OU09vwQwhkpOPPYv2Y/edit?usp=sharing"",""งบพรบ!AZ67"")"),0)</f>
        <v>0</v>
      </c>
      <c r="M102" s="427">
        <f ca="1">IFERROR(__xludf.DUMMYFUNCTION("IMPORTRANGE(""https://docs.google.com/spreadsheets/d/1-uDff_7J0KD5mKrp0Vvzr7lt3OU09vwQwhkpOPPYv2Y/edit?usp=sharing"",""งบพรบ!BC67"")"),0)</f>
        <v>0</v>
      </c>
      <c r="N102" s="427">
        <f ca="1">IFERROR(__xludf.DUMMYFUNCTION("IMPORTRANGE(""https://docs.google.com/spreadsheets/d/1-uDff_7J0KD5mKrp0Vvzr7lt3OU09vwQwhkpOPPYv2Y/edit?usp=sharing"",""งบพรบ!BE67"")"),0)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IFERROR(__xludf.DUMMYFUNCTION("IMPORTRANGE(""https://docs.google.com/spreadsheets/d/1eHaY18a8A9IcSdp1K8H6x8fbOy06t2VsZHhMHf-1x7Y/edit?usp=sharing"",""แผน!N67"")"),0)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IFERROR(__xludf.DUMMYFUNCTION("IMPORTRANGE(""https://docs.google.com/spreadsheets/d/1eHaY18a8A9IcSdp1K8H6x8fbOy06t2VsZHhMHf-1x7Y/edit?usp=sharing"",""แผน!O67"")"),0)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IFERROR(__xludf.DUMMYFUNCTION("IMPORTRANGE(""https://docs.google.com/spreadsheets/d/1eHaY18a8A9IcSdp1K8H6x8fbOy06t2VsZHhMHf-1x7Y/edit?usp=sharing"",""แผน!R67"")"),0)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IFERROR(__xludf.DUMMYFUNCTION("IMPORTRANGE(""https://docs.google.com/spreadsheets/d/1-uDff_7J0KD5mKrp0Vvzr7lt3OU09vwQwhkpOPPYv2Y/edit?usp=sharing"",""งบพรบ!BG67"")"),0)</f>
        <v>0</v>
      </c>
      <c r="M130" s="864">
        <f ca="1">IFERROR(__xludf.DUMMYFUNCTION("IMPORTRANGE(""https://docs.google.com/spreadsheets/d/1-uDff_7J0KD5mKrp0Vvzr7lt3OU09vwQwhkpOPPYv2Y/edit?usp=sharing"",""งบพรบ!BL67"")"),0)</f>
        <v>0</v>
      </c>
      <c r="N130" s="864">
        <f ca="1">IFERROR(__xludf.DUMMYFUNCTION("IMPORTRANGE(""https://docs.google.com/spreadsheets/d/1-uDff_7J0KD5mKrp0Vvzr7lt3OU09vwQwhkpOPPYv2Y/edit?usp=sharing"",""งบพรบ!BN67"")"),0)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IFERROR(__xludf.DUMMYFUNCTION("IMPORTRANGE(""https://docs.google.com/spreadsheets/d/1-uDff_7J0KD5mKrp0Vvzr7lt3OU09vwQwhkpOPPYv2Y/edit?usp=sharing"",""งบพรบ!BJ67"")"),0)</f>
        <v>0</v>
      </c>
      <c r="M133" s="864">
        <f ca="1">IFERROR(__xludf.DUMMYFUNCTION("IMPORTRANGE(""https://docs.google.com/spreadsheets/d/1-uDff_7J0KD5mKrp0Vvzr7lt3OU09vwQwhkpOPPYv2Y/edit?usp=sharing"",""งบพรบ!BM67"")"),0)</f>
        <v>0</v>
      </c>
      <c r="N133" s="864">
        <f ca="1">IFERROR(__xludf.DUMMYFUNCTION("IMPORTRANGE(""https://docs.google.com/spreadsheets/d/1-uDff_7J0KD5mKrp0Vvzr7lt3OU09vwQwhkpOPPYv2Y/edit?usp=sharing"",""งบพรบ!BO67"")"),0)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1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30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3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135400</v>
      </c>
      <c r="M139" s="715">
        <f ca="1">M140+M141</f>
        <v>108700</v>
      </c>
      <c r="N139" s="715">
        <f ca="1">N140+N141</f>
        <v>23027</v>
      </c>
      <c r="O139" s="715">
        <f t="shared" ref="O139:O147" ca="1" si="21">IF(L139&gt;0,N139*100/L139,0)</f>
        <v>17.006646971935009</v>
      </c>
      <c r="P139" s="715">
        <f t="shared" ref="P139:P147" ca="1" si="22">IF(M139&gt;0,N139*100/M139,0)</f>
        <v>21.183992640294388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135400</v>
      </c>
      <c r="M141" s="427">
        <f t="shared" ca="1" si="23"/>
        <v>108700</v>
      </c>
      <c r="N141" s="427">
        <f t="shared" ca="1" si="23"/>
        <v>23027</v>
      </c>
      <c r="O141" s="427">
        <f t="shared" ca="1" si="21"/>
        <v>17.006646971935009</v>
      </c>
      <c r="P141" s="427">
        <f t="shared" ca="1" si="22"/>
        <v>21.183992640294388</v>
      </c>
    </row>
    <row r="142" spans="1:16" ht="18.75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135400</v>
      </c>
      <c r="M142" s="427">
        <f ca="1">M143+M144</f>
        <v>108700</v>
      </c>
      <c r="N142" s="427">
        <f ca="1">N143+N144</f>
        <v>23027</v>
      </c>
      <c r="O142" s="427">
        <f t="shared" ca="1" si="21"/>
        <v>17.006646971935009</v>
      </c>
      <c r="P142" s="427">
        <f t="shared" ca="1" si="22"/>
        <v>21.183992640294388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IFERROR(__xludf.DUMMYFUNCTION("IMPORTRANGE(""https://docs.google.com/spreadsheets/d/1-uDff_7J0KD5mKrp0Vvzr7lt3OU09vwQwhkpOPPYv2Y/edit?usp=sharing"",""งบพรบ!BQ67"")"),135400)</f>
        <v>135400</v>
      </c>
      <c r="M144" s="427">
        <f ca="1">IFERROR(__xludf.DUMMYFUNCTION("IMPORTRANGE(""https://docs.google.com/spreadsheets/d/1-uDff_7J0KD5mKrp0Vvzr7lt3OU09vwQwhkpOPPYv2Y/edit?usp=sharing"",""งบพรบ!BV67"")"),108700)</f>
        <v>108700</v>
      </c>
      <c r="N144" s="427">
        <f ca="1">IFERROR(__xludf.DUMMYFUNCTION("IMPORTRANGE(""https://docs.google.com/spreadsheets/d/1-uDff_7J0KD5mKrp0Vvzr7lt3OU09vwQwhkpOPPYv2Y/edit?usp=sharing"",""งบพรบ!BX67"")"),23027)</f>
        <v>23027</v>
      </c>
      <c r="O144" s="427">
        <f t="shared" ca="1" si="21"/>
        <v>17.006646971935009</v>
      </c>
      <c r="P144" s="427">
        <f t="shared" ca="1" si="22"/>
        <v>21.183992640294388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IFERROR(__xludf.DUMMYFUNCTION("IMPORTRANGE(""https://docs.google.com/spreadsheets/d/1-uDff_7J0KD5mKrp0Vvzr7lt3OU09vwQwhkpOPPYv2Y/edit?usp=sharing"",""งบพรบ!BT67"")"),0)</f>
        <v>0</v>
      </c>
      <c r="M147" s="427">
        <f ca="1">IFERROR(__xludf.DUMMYFUNCTION("IMPORTRANGE(""https://docs.google.com/spreadsheets/d/1-uDff_7J0KD5mKrp0Vvzr7lt3OU09vwQwhkpOPPYv2Y/edit?usp=sharing"",""งบพรบ!BW67"")"),0)</f>
        <v>0</v>
      </c>
      <c r="N147" s="427">
        <f ca="1">IFERROR(__xludf.DUMMYFUNCTION("IMPORTRANGE(""https://docs.google.com/spreadsheets/d/1-uDff_7J0KD5mKrp0Vvzr7lt3OU09vwQwhkpOPPYv2Y/edit?usp=sharing"",""งบพรบ!BY67"")"),0)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IFERROR(__xludf.DUMMYFUNCTION("IMPORTRANGE(""https://docs.google.com/spreadsheets/d/1eHaY18a8A9IcSdp1K8H6x8fbOy06t2VsZHhMHf-1x7Y/edit?usp=sharing"",""แผน!U67"")"),10)</f>
        <v>10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IFERROR(__xludf.DUMMYFUNCTION("IMPORTRANGE(""https://docs.google.com/spreadsheets/d/1eHaY18a8A9IcSdp1K8H6x8fbOy06t2VsZHhMHf-1x7Y/edit?usp=sharing"",""แผน!V67"")"),1)</f>
        <v>1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IFERROR(__xludf.DUMMYFUNCTION("IMPORTRANGE(""https://docs.google.com/spreadsheets/d/1eHaY18a8A9IcSdp1K8H6x8fbOy06t2VsZHhMHf-1x7Y/edit?usp=sharing"",""แผน!W67"")"),30)</f>
        <v>30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IFERROR(__xludf.DUMMYFUNCTION("IMPORTRANGE(""https://docs.google.com/spreadsheets/d/1eHaY18a8A9IcSdp1K8H6x8fbOy06t2VsZHhMHf-1x7Y/edit?usp=sharing"",""แผน!X67"")"),3)</f>
        <v>3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IFERROR(__xludf.DUMMYFUNCTION("IMPORTRANGE(""https://docs.google.com/spreadsheets/d/1eHaY18a8A9IcSdp1K8H6x8fbOy06t2VsZHhMHf-1x7Y/edit?usp=sharing"",""แผน!Y67"")"),1)</f>
        <v>1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IFERROR(__xludf.DUMMYFUNCTION("IMPORTRANGE(""https://docs.google.com/spreadsheets/d/1-uDff_7J0KD5mKrp0Vvzr7lt3OU09vwQwhkpOPPYv2Y/edit?usp=sharing"",""งบพรบ!CA67"")"),3000)</f>
        <v>3000</v>
      </c>
      <c r="M162" s="427">
        <f ca="1">IFERROR(__xludf.DUMMYFUNCTION("IMPORTRANGE(""https://docs.google.com/spreadsheets/d/1-uDff_7J0KD5mKrp0Vvzr7lt3OU09vwQwhkpOPPYv2Y/edit?usp=sharing"",""งบพรบ!CF67"")"),0)</f>
        <v>0</v>
      </c>
      <c r="N162" s="427">
        <f ca="1">IFERROR(__xludf.DUMMYFUNCTION("IMPORTRANGE(""https://docs.google.com/spreadsheets/d/1-uDff_7J0KD5mKrp0Vvzr7lt3OU09vwQwhkpOPPYv2Y/edit?usp=sharing"",""งบพรบ!CH67"")"),0)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IFERROR(__xludf.DUMMYFUNCTION("IMPORTRANGE(""https://docs.google.com/spreadsheets/d/1-uDff_7J0KD5mKrp0Vvzr7lt3OU09vwQwhkpOPPYv2Y/edit?usp=sharing"",""งบพรบ!CD67"")"),0)</f>
        <v>0</v>
      </c>
      <c r="M165" s="427">
        <f ca="1">IFERROR(__xludf.DUMMYFUNCTION("IMPORTRANGE(""https://docs.google.com/spreadsheets/d/1-uDff_7J0KD5mKrp0Vvzr7lt3OU09vwQwhkpOPPYv2Y/edit?usp=sharing"",""งบพรบ!CG67"")"),0)</f>
        <v>0</v>
      </c>
      <c r="N165" s="427">
        <f ca="1">IFERROR(__xludf.DUMMYFUNCTION("IMPORTRANGE(""https://docs.google.com/spreadsheets/d/1-uDff_7J0KD5mKrp0Vvzr7lt3OU09vwQwhkpOPPYv2Y/edit?usp=sharing"",""งบพรบ!CI67"")"),0)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IFERROR(__xludf.DUMMYFUNCTION("IMPORTRANGE(""https://docs.google.com/spreadsheets/d/1eHaY18a8A9IcSdp1K8H6x8fbOy06t2VsZHhMHf-1x7Y/edit?usp=sharing"",""แผน!Z67"")"),10)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240</v>
      </c>
      <c r="O173" s="715">
        <f t="shared" ref="O173:O181" ca="1" si="27">IF(L173&gt;0,N173*100/L173,0)</f>
        <v>1.2251148545176109</v>
      </c>
      <c r="P173" s="715">
        <f t="shared" ref="P173:P181" ca="1" si="28">IF(M173&gt;0,N173*100/M173,0)</f>
        <v>1.2251148545176109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240</v>
      </c>
      <c r="O175" s="427">
        <f t="shared" ca="1" si="27"/>
        <v>1.2251148545176109</v>
      </c>
      <c r="P175" s="427">
        <f t="shared" ca="1" si="28"/>
        <v>1.2251148545176109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240</v>
      </c>
      <c r="O176" s="427">
        <f t="shared" ca="1" si="27"/>
        <v>1.2251148545176109</v>
      </c>
      <c r="P176" s="427">
        <f t="shared" ca="1" si="28"/>
        <v>1.2251148545176109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IFERROR(__xludf.DUMMYFUNCTION("IMPORTRANGE(""https://docs.google.com/spreadsheets/d/1-uDff_7J0KD5mKrp0Vvzr7lt3OU09vwQwhkpOPPYv2Y/edit?usp=sharing"",""งบพรบ!CK67"")"),19590)</f>
        <v>19590</v>
      </c>
      <c r="M178" s="427">
        <f ca="1">IFERROR(__xludf.DUMMYFUNCTION("IMPORTRANGE(""https://docs.google.com/spreadsheets/d/1-uDff_7J0KD5mKrp0Vvzr7lt3OU09vwQwhkpOPPYv2Y/edit?usp=sharing"",""งบพรบ!CP67"")"),19590)</f>
        <v>19590</v>
      </c>
      <c r="N178" s="427">
        <f ca="1">IFERROR(__xludf.DUMMYFUNCTION("IMPORTRANGE(""https://docs.google.com/spreadsheets/d/1-uDff_7J0KD5mKrp0Vvzr7lt3OU09vwQwhkpOPPYv2Y/edit?usp=sharing"",""งบพรบ!CR67"")"),240)</f>
        <v>240</v>
      </c>
      <c r="O178" s="427">
        <f t="shared" ca="1" si="27"/>
        <v>1.2251148545176109</v>
      </c>
      <c r="P178" s="427">
        <f t="shared" ca="1" si="28"/>
        <v>1.2251148545176109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IFERROR(__xludf.DUMMYFUNCTION("IMPORTRANGE(""https://docs.google.com/spreadsheets/d/1-uDff_7J0KD5mKrp0Vvzr7lt3OU09vwQwhkpOPPYv2Y/edit?usp=sharing"",""งบพรบ!CN67"")"),0)</f>
        <v>0</v>
      </c>
      <c r="M181" s="427">
        <f ca="1">IFERROR(__xludf.DUMMYFUNCTION("IMPORTRANGE(""https://docs.google.com/spreadsheets/d/1-uDff_7J0KD5mKrp0Vvzr7lt3OU09vwQwhkpOPPYv2Y/edit?usp=sharing"",""งบพรบ!CQ67"")"),0)</f>
        <v>0</v>
      </c>
      <c r="N181" s="427">
        <f ca="1">IFERROR(__xludf.DUMMYFUNCTION("IMPORTRANGE(""https://docs.google.com/spreadsheets/d/1-uDff_7J0KD5mKrp0Vvzr7lt3OU09vwQwhkpOPPYv2Y/edit?usp=sharing"",""งบพรบ!CS67"")"),0)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IFERROR(__xludf.DUMMYFUNCTION("IMPORTRANGE(""https://docs.google.com/spreadsheets/d/1eHaY18a8A9IcSdp1K8H6x8fbOy06t2VsZHhMHf-1x7Y/edit?usp=sharing"",""แผน!AA67"")"),7)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36500</v>
      </c>
      <c r="M186" s="715">
        <f ca="1">M187+M188</f>
        <v>22500</v>
      </c>
      <c r="N186" s="715">
        <f ca="1">N187+N188</f>
        <v>350</v>
      </c>
      <c r="O186" s="715">
        <f t="shared" ref="O186:O194" ca="1" si="30">IF(L186&gt;0,N186*100/L186,0)</f>
        <v>0.95890410958904104</v>
      </c>
      <c r="P186" s="715">
        <f t="shared" ref="P186:P194" ca="1" si="31">IF(M186&gt;0,N186*100/M186,0)</f>
        <v>1.5555555555555556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36500</v>
      </c>
      <c r="M188" s="427">
        <f t="shared" ca="1" si="32"/>
        <v>22500</v>
      </c>
      <c r="N188" s="427">
        <f t="shared" ca="1" si="32"/>
        <v>350</v>
      </c>
      <c r="O188" s="427">
        <f t="shared" ca="1" si="30"/>
        <v>0.95890410958904104</v>
      </c>
      <c r="P188" s="427">
        <f t="shared" ca="1" si="31"/>
        <v>1.5555555555555556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36500</v>
      </c>
      <c r="M189" s="427">
        <f ca="1">M190+M191</f>
        <v>22500</v>
      </c>
      <c r="N189" s="427">
        <f ca="1">N190+N191</f>
        <v>350</v>
      </c>
      <c r="O189" s="427">
        <f t="shared" ca="1" si="30"/>
        <v>0.95890410958904104</v>
      </c>
      <c r="P189" s="427">
        <f t="shared" ca="1" si="31"/>
        <v>1.5555555555555556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IFERROR(__xludf.DUMMYFUNCTION("IMPORTRANGE(""https://docs.google.com/spreadsheets/d/1-uDff_7J0KD5mKrp0Vvzr7lt3OU09vwQwhkpOPPYv2Y/edit?usp=sharing"",""งบพรบ!CU67"")"),36500)</f>
        <v>36500</v>
      </c>
      <c r="M191" s="427">
        <f ca="1">IFERROR(__xludf.DUMMYFUNCTION("IMPORTRANGE(""https://docs.google.com/spreadsheets/d/1-uDff_7J0KD5mKrp0Vvzr7lt3OU09vwQwhkpOPPYv2Y/edit?usp=sharing"",""งบพรบ!CZ67"")"),22500)</f>
        <v>22500</v>
      </c>
      <c r="N191" s="427">
        <f ca="1">IFERROR(__xludf.DUMMYFUNCTION("IMPORTRANGE(""https://docs.google.com/spreadsheets/d/1-uDff_7J0KD5mKrp0Vvzr7lt3OU09vwQwhkpOPPYv2Y/edit?usp=sharing"",""งบพรบ!DB67"")"),350)</f>
        <v>350</v>
      </c>
      <c r="O191" s="427">
        <f t="shared" ca="1" si="30"/>
        <v>0.95890410958904104</v>
      </c>
      <c r="P191" s="427">
        <f t="shared" ca="1" si="31"/>
        <v>1.5555555555555556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IFERROR(__xludf.DUMMYFUNCTION("IMPORTRANGE(""https://docs.google.com/spreadsheets/d/1-uDff_7J0KD5mKrp0Vvzr7lt3OU09vwQwhkpOPPYv2Y/edit?usp=sharing"",""งบพรบ!CX67"")"),0)</f>
        <v>0</v>
      </c>
      <c r="M194" s="427">
        <f ca="1">IFERROR(__xludf.DUMMYFUNCTION("IMPORTRANGE(""https://docs.google.com/spreadsheets/d/1-uDff_7J0KD5mKrp0Vvzr7lt3OU09vwQwhkpOPPYv2Y/edit?usp=sharing"",""งบพรบ!DA67"")"),0)</f>
        <v>0</v>
      </c>
      <c r="N194" s="427">
        <f ca="1">IFERROR(__xludf.DUMMYFUNCTION("IMPORTRANGE(""https://docs.google.com/spreadsheets/d/1-uDff_7J0KD5mKrp0Vvzr7lt3OU09vwQwhkpOPPYv2Y/edit?usp=sharing"",""งบพรบ!DC67"")"),0)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IFERROR(__xludf.DUMMYFUNCTION("IMPORTRANGE(""https://docs.google.com/spreadsheets/d/1eHaY18a8A9IcSdp1K8H6x8fbOy06t2VsZHhMHf-1x7Y/edit?usp=sharing"",""แผน!AB67"")"),6000)</f>
        <v>6000</v>
      </c>
      <c r="M196" s="430"/>
      <c r="N196" s="827">
        <v>350</v>
      </c>
      <c r="O196" s="715">
        <f ca="1">IF(L196&gt;0,N196*100/L196,0)</f>
        <v>5.833333333333333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IFERROR(__xludf.DUMMYFUNCTION("IMPORTRANGE(""https://docs.google.com/spreadsheets/d/1eHaY18a8A9IcSdp1K8H6x8fbOy06t2VsZHhMHf-1x7Y/edit?usp=sharing"",""แผน!AE67"")"),4)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55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55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26000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IFERROR(__xludf.DUMMYFUNCTION("IMPORTRANGE(""https://docs.google.com/spreadsheets/d/1eHaY18a8A9IcSdp1K8H6x8fbOy06t2VsZHhMHf-1x7Y/edit?usp=sharing"",""แผน!AG67"")"),2000)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IFERROR(__xludf.DUMMYFUNCTION("IMPORTRANGE(""https://docs.google.com/spreadsheets/d/1eHaY18a8A9IcSdp1K8H6x8fbOy06t2VsZHhMHf-1x7Y/edit?usp=sharing"",""แผน!AH67"")"),0)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IFERROR(__xludf.DUMMYFUNCTION("IMPORTRANGE(""https://docs.google.com/spreadsheets/d/1eHaY18a8A9IcSdp1K8H6x8fbOy06t2VsZHhMHf-1x7Y/edit?usp=sharing"",""แผน!AI67"")"),16000)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IFERROR(__xludf.DUMMYFUNCTION("IMPORTRANGE(""https://docs.google.com/spreadsheets/d/1eHaY18a8A9IcSdp1K8H6x8fbOy06t2VsZHhMHf-1x7Y/edit?usp=sharing"",""แผน!AJ67"")"),8000)</f>
        <v>8000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IFERROR(__xludf.DUMMYFUNCTION("IMPORTRANGE(""https://docs.google.com/spreadsheets/d/1eHaY18a8A9IcSdp1K8H6x8fbOy06t2VsZHhMHf-1x7Y/edit?usp=sharing"",""แผน!AK67"")"),2)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IFERROR(__xludf.DUMMYFUNCTION("IMPORTRANGE(""https://docs.google.com/spreadsheets/d/1eHaY18a8A9IcSdp1K8H6x8fbOy06t2VsZHhMHf-1x7Y/edit?usp=sharing"",""แผน!JX67"")"),2)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IFERROR(__xludf.DUMMYFUNCTION("IMPORTRANGE(""https://docs.google.com/spreadsheets/d/1eHaY18a8A9IcSdp1K8H6x8fbOy06t2VsZHhMHf-1x7Y/edit?usp=sharing"",""แผน!JY67"")"),0)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IFERROR(__xludf.DUMMYFUNCTION("IMPORTRANGE(""https://docs.google.com/spreadsheets/d/1eHaY18a8A9IcSdp1K8H6x8fbOy06t2VsZHhMHf-1x7Y/edit?usp=sharing"",""แผน!AM67"")"),0)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IFERROR(__xludf.DUMMYFUNCTION("IMPORTRANGE(""https://docs.google.com/spreadsheets/d/1eHaY18a8A9IcSdp1K8H6x8fbOy06t2VsZHhMHf-1x7Y/edit?usp=sharing"",""แผน!AN67"")"),0)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IFERROR(__xludf.DUMMYFUNCTION("IMPORTRANGE(""https://docs.google.com/spreadsheets/d/1eHaY18a8A9IcSdp1K8H6x8fbOy06t2VsZHhMHf-1x7Y/edit?usp=sharing"",""แผน!AO67"")"),0)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IFERROR(__xludf.DUMMYFUNCTION("IMPORTRANGE(""https://docs.google.com/spreadsheets/d/1eHaY18a8A9IcSdp1K8H6x8fbOy06t2VsZHhMHf-1x7Y/edit?usp=sharing"",""แผน!AP67"")"),0)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IFERROR(__xludf.DUMMYFUNCTION("IMPORTRANGE(""https://docs.google.com/spreadsheets/d/1eHaY18a8A9IcSdp1K8H6x8fbOy06t2VsZHhMHf-1x7Y/edit?usp=sharing"",""แผน!AP67"")"),0)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IFERROR(__xludf.DUMMYFUNCTION("IMPORTRANGE(""https://docs.google.com/spreadsheets/d/1eHaY18a8A9IcSdp1K8H6x8fbOy06t2VsZHhMHf-1x7Y/edit?usp=sharing"",""แผน!AR67"")"),3000)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IFERROR(__xludf.DUMMYFUNCTION("IMPORTRANGE(""https://docs.google.com/spreadsheets/d/1eHaY18a8A9IcSdp1K8H6x8fbOy06t2VsZHhMHf-1x7Y/edit?usp=sharing"",""แผน!AS67"")"),1500)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IFERROR(__xludf.DUMMYFUNCTION("IMPORTRANGE(""https://docs.google.com/spreadsheets/d/1eHaY18a8A9IcSdp1K8H6x8fbOy06t2VsZHhMHf-1x7Y/edit?usp=sharing"",""แผน!AT67"")"),0)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IFERROR(__xludf.DUMMYFUNCTION("IMPORTRANGE(""https://docs.google.com/spreadsheets/d/1eHaY18a8A9IcSdp1K8H6x8fbOy06t2VsZHhMHf-1x7Y/edit?usp=sharing"",""แผน!AV67"")"),20000)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IFERROR(__xludf.DUMMYFUNCTION("IMPORTRANGE(""https://docs.google.com/spreadsheets/d/1eHaY18a8A9IcSdp1K8H6x8fbOy06t2VsZHhMHf-1x7Y/edit?usp=sharing"",""แผน!AV67"")"),20000)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IFERROR(__xludf.DUMMYFUNCTION("IMPORTRANGE(""https://docs.google.com/spreadsheets/d/1eHaY18a8A9IcSdp1K8H6x8fbOy06t2VsZHhMHf-1x7Y/edit?usp=sharing"",""แผน!AU67"")"),0)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IFERROR(__xludf.DUMMYFUNCTION("IMPORTRANGE(""https://docs.google.com/spreadsheets/d/1eHaY18a8A9IcSdp1K8H6x8fbOy06t2VsZHhMHf-1x7Y/edit?usp=sharing"",""แผน!AX67"")"),0)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IFERROR(__xludf.DUMMYFUNCTION("IMPORTRANGE(""https://docs.google.com/spreadsheets/d/1eHaY18a8A9IcSdp1K8H6x8fbOy06t2VsZHhMHf-1x7Y/edit?usp=sharing"",""แผน!AY67"")"),0)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IFERROR(__xludf.DUMMYFUNCTION("IMPORTRANGE(""https://docs.google.com/spreadsheets/d/1eHaY18a8A9IcSdp1K8H6x8fbOy06t2VsZHhMHf-1x7Y/edit?usp=sharing"",""แผน!AZ67"")"),0)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IFERROR(__xludf.DUMMYFUNCTION("IMPORTRANGE(""https://docs.google.com/spreadsheets/d/1eHaY18a8A9IcSdp1K8H6x8fbOy06t2VsZHhMHf-1x7Y/edit?usp=sharing"",""แผน!BA67"")"),0)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IFERROR(__xludf.DUMMYFUNCTION("IMPORTRANGE(""https://docs.google.com/spreadsheets/d/1eHaY18a8A9IcSdp1K8H6x8fbOy06t2VsZHhMHf-1x7Y/edit?usp=sharing"",""แผน!BG67"")"),0)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IFERROR(__xludf.DUMMYFUNCTION("IMPORTRANGE(""https://docs.google.com/spreadsheets/d/1eHaY18a8A9IcSdp1K8H6x8fbOy06t2VsZHhMHf-1x7Y/edit?usp=sharing"",""แผน!BB67"")"),0)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IFERROR(__xludf.DUMMYFUNCTION("IMPORTRANGE(""https://docs.google.com/spreadsheets/d/1eHaY18a8A9IcSdp1K8H6x8fbOy06t2VsZHhMHf-1x7Y/edit?usp=sharing"",""แผน!BC67"")"),0)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IFERROR(__xludf.DUMMYFUNCTION("IMPORTRANGE(""https://docs.google.com/spreadsheets/d/1eHaY18a8A9IcSdp1K8H6x8fbOy06t2VsZHhMHf-1x7Y/edit?usp=sharing"",""แผน!BD67"")"),0)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IFERROR(__xludf.DUMMYFUNCTION("IMPORTRANGE(""https://docs.google.com/spreadsheets/d/1eHaY18a8A9IcSdp1K8H6x8fbOy06t2VsZHhMHf-1x7Y/edit?usp=sharing"",""แผน!BE67"")"),0)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IFERROR(__xludf.DUMMYFUNCTION("IMPORTRANGE(""https://docs.google.com/spreadsheets/d/1eHaY18a8A9IcSdp1K8H6x8fbOy06t2VsZHhMHf-1x7Y/edit?usp=sharing"",""แผน!BH67"")"),0)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IFERROR(__xludf.DUMMYFUNCTION("IMPORTRANGE(""https://docs.google.com/spreadsheets/d/1-uDff_7J0KD5mKrp0Vvzr7lt3OU09vwQwhkpOPPYv2Y/edit?usp=sharing"",""งบพรบ!DE67"")"),0)</f>
        <v>0</v>
      </c>
      <c r="M271" s="502">
        <f ca="1">IFERROR(__xludf.DUMMYFUNCTION("IMPORTRANGE(""https://docs.google.com/spreadsheets/d/1-uDff_7J0KD5mKrp0Vvzr7lt3OU09vwQwhkpOPPYv2Y/edit?usp=sharing"",""งบพรบ!DJ67"")"),0)</f>
        <v>0</v>
      </c>
      <c r="N271" s="502">
        <f ca="1">IFERROR(__xludf.DUMMYFUNCTION("IMPORTRANGE(""https://docs.google.com/spreadsheets/d/1-uDff_7J0KD5mKrp0Vvzr7lt3OU09vwQwhkpOPPYv2Y/edit?usp=sharing"",""งบพรบ!DL67"")"),0)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IFERROR(__xludf.DUMMYFUNCTION("IMPORTRANGE(""https://docs.google.com/spreadsheets/d/1-uDff_7J0KD5mKrp0Vvzr7lt3OU09vwQwhkpOPPYv2Y/edit?usp=sharing"",""งบพรบ!DH67"")"),0)</f>
        <v>0</v>
      </c>
      <c r="M274" s="502">
        <f ca="1">IFERROR(__xludf.DUMMYFUNCTION("IMPORTRANGE(""https://docs.google.com/spreadsheets/d/1-uDff_7J0KD5mKrp0Vvzr7lt3OU09vwQwhkpOPPYv2Y/edit?usp=sharing"",""งบพรบ!DK67"")"),0)</f>
        <v>0</v>
      </c>
      <c r="N274" s="502">
        <f ca="1">IFERROR(__xludf.DUMMYFUNCTION("IMPORTRANGE(""https://docs.google.com/spreadsheets/d/1-uDff_7J0KD5mKrp0Vvzr7lt3OU09vwQwhkpOPPYv2Y/edit?usp=sharing"",""งบพรบ!DM67"")"),0)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IFERROR(__xludf.DUMMYFUNCTION("IMPORTRANGE(""https://docs.google.com/spreadsheets/d/1-uDff_7J0KD5mKrp0Vvzr7lt3OU09vwQwhkpOPPYv2Y/edit?usp=sharing"",""งบพรบ!DO67"")"),0)</f>
        <v>0</v>
      </c>
      <c r="M287" s="427">
        <f ca="1">IFERROR(__xludf.DUMMYFUNCTION("IMPORTRANGE(""https://docs.google.com/spreadsheets/d/1-uDff_7J0KD5mKrp0Vvzr7lt3OU09vwQwhkpOPPYv2Y/edit?usp=sharing"",""งบพรบ!DT67"")"),0)</f>
        <v>0</v>
      </c>
      <c r="N287" s="427">
        <f ca="1">IFERROR(__xludf.DUMMYFUNCTION("IMPORTRANGE(""https://docs.google.com/spreadsheets/d/1-uDff_7J0KD5mKrp0Vvzr7lt3OU09vwQwhkpOPPYv2Y/edit?usp=sharing"",""งบพรบ!DV67"")"),0)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IFERROR(__xludf.DUMMYFUNCTION("IMPORTRANGE(""https://docs.google.com/spreadsheets/d/1-uDff_7J0KD5mKrp0Vvzr7lt3OU09vwQwhkpOPPYv2Y/edit?usp=sharing"",""งบพรบ!DR67"")"),0)</f>
        <v>0</v>
      </c>
      <c r="M290" s="427">
        <f ca="1">IFERROR(__xludf.DUMMYFUNCTION("IMPORTRANGE(""https://docs.google.com/spreadsheets/d/1-uDff_7J0KD5mKrp0Vvzr7lt3OU09vwQwhkpOPPYv2Y/edit?usp=sharing"",""งบพรบ!DU67"")"),0)</f>
        <v>0</v>
      </c>
      <c r="N290" s="427">
        <f ca="1">IFERROR(__xludf.DUMMYFUNCTION("IMPORTRANGE(""https://docs.google.com/spreadsheets/d/1-uDff_7J0KD5mKrp0Vvzr7lt3OU09vwQwhkpOPPYv2Y/edit?usp=sharing"",""งบพรบ!DW67"")"),0)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IFERROR(__xludf.DUMMYFUNCTION("IMPORTRANGE(""https://docs.google.com/spreadsheets/d/1eHaY18a8A9IcSdp1K8H6x8fbOy06t2VsZHhMHf-1x7Y/edit?usp=sharing"",""แผน!EE67"")"),0)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IFERROR(__xludf.DUMMYFUNCTION("IMPORTRANGE(""https://docs.google.com/spreadsheets/d/1eHaY18a8A9IcSdp1K8H6x8fbOy06t2VsZHhMHf-1x7Y/edit?usp=sharing"",""แผน!ED67"")"),0)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IFERROR(__xludf.DUMMYFUNCTION("IMPORTRANGE(""https://docs.google.com/spreadsheets/d/1eHaY18a8A9IcSdp1K8H6x8fbOy06t2VsZHhMHf-1x7Y/edit?usp=sharing"",""แผน!ED67"")"),0)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IFERROR(__xludf.DUMMYFUNCTION("IMPORTRANGE(""https://docs.google.com/spreadsheets/d/1eHaY18a8A9IcSdp1K8H6x8fbOy06t2VsZHhMHf-1x7Y/edit?usp=sharing"",""แผน!ED67"")"),0)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IFERROR(__xludf.DUMMYFUNCTION("IMPORTRANGE(""https://docs.google.com/spreadsheets/d/1-uDff_7J0KD5mKrp0Vvzr7lt3OU09vwQwhkpOPPYv2Y/edit?usp=sharing"",""งบพรบ!DY67"")"),0)</f>
        <v>0</v>
      </c>
      <c r="M308" s="427">
        <f ca="1">IFERROR(__xludf.DUMMYFUNCTION("IMPORTRANGE(""https://docs.google.com/spreadsheets/d/1-uDff_7J0KD5mKrp0Vvzr7lt3OU09vwQwhkpOPPYv2Y/edit?usp=sharing"",""งบพรบ!ED67"")"),0)</f>
        <v>0</v>
      </c>
      <c r="N308" s="427">
        <f ca="1">IFERROR(__xludf.DUMMYFUNCTION("IMPORTRANGE(""https://docs.google.com/spreadsheets/d/1-uDff_7J0KD5mKrp0Vvzr7lt3OU09vwQwhkpOPPYv2Y/edit?usp=sharing"",""งบพรบ!EF67"")"),0)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IFERROR(__xludf.DUMMYFUNCTION("IMPORTRANGE(""https://docs.google.com/spreadsheets/d/1-uDff_7J0KD5mKrp0Vvzr7lt3OU09vwQwhkpOPPYv2Y/edit?usp=sharing"",""งบพรบ!EB67"")"),0)</f>
        <v>0</v>
      </c>
      <c r="M311" s="427">
        <f ca="1">IFERROR(__xludf.DUMMYFUNCTION("IMPORTRANGE(""https://docs.google.com/spreadsheets/d/1-uDff_7J0KD5mKrp0Vvzr7lt3OU09vwQwhkpOPPYv2Y/edit?usp=sharing"",""งบพรบ!EE67"")"),0)</f>
        <v>0</v>
      </c>
      <c r="N311" s="427">
        <f ca="1">IFERROR(__xludf.DUMMYFUNCTION("IMPORTRANGE(""https://docs.google.com/spreadsheets/d/1-uDff_7J0KD5mKrp0Vvzr7lt3OU09vwQwhkpOPPYv2Y/edit?usp=sharing"",""งบพรบ!EG67"")"),0)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IFERROR(__xludf.DUMMYFUNCTION("IMPORTRANGE(""https://docs.google.com/spreadsheets/d/1eHaY18a8A9IcSdp1K8H6x8fbOy06t2VsZHhMHf-1x7Y/edit?usp=sharing"",""แผน!EF67"")"),0)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IFERROR(__xludf.DUMMYFUNCTION("IMPORTRANGE(""https://docs.google.com/spreadsheets/d/1eHaY18a8A9IcSdp1K8H6x8fbOy06t2VsZHhMHf-1x7Y/edit?usp=sharing"",""แผน!EG67"")"),0)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IFERROR(__xludf.DUMMYFUNCTION("IMPORTRANGE(""https://docs.google.com/spreadsheets/d/1eHaY18a8A9IcSdp1K8H6x8fbOy06t2VsZHhMHf-1x7Y/edit?usp=sharing"",""แผน!EH67"")"),0)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IFERROR(__xludf.DUMMYFUNCTION("IMPORTRANGE(""https://docs.google.com/spreadsheets/d/1eHaY18a8A9IcSdp1K8H6x8fbOy06t2VsZHhMHf-1x7Y/edit?usp=sharing"",""แผน!EI67"")"),0)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IFERROR(__xludf.DUMMYFUNCTION("IMPORTRANGE(""https://docs.google.com/spreadsheets/d/1-uDff_7J0KD5mKrp0Vvzr7lt3OU09vwQwhkpOPPYv2Y/edit?usp=sharing"",""งบพรบ!EI67"")"),0)</f>
        <v>0</v>
      </c>
      <c r="M325" s="427">
        <f ca="1">IFERROR(__xludf.DUMMYFUNCTION("IMPORTRANGE(""https://docs.google.com/spreadsheets/d/1-uDff_7J0KD5mKrp0Vvzr7lt3OU09vwQwhkpOPPYv2Y/edit?usp=sharing"",""งบพรบ!EN67"")"),0)</f>
        <v>0</v>
      </c>
      <c r="N325" s="427">
        <f ca="1">IFERROR(__xludf.DUMMYFUNCTION("IMPORTRANGE(""https://docs.google.com/spreadsheets/d/1-uDff_7J0KD5mKrp0Vvzr7lt3OU09vwQwhkpOPPYv2Y/edit?usp=sharing"",""งบพรบ!EP67"")"),0)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IFERROR(__xludf.DUMMYFUNCTION("IMPORTRANGE(""https://docs.google.com/spreadsheets/d/1-uDff_7J0KD5mKrp0Vvzr7lt3OU09vwQwhkpOPPYv2Y/edit?usp=sharing"",""งบพรบ!EL67"")"),0)</f>
        <v>0</v>
      </c>
      <c r="M328" s="427">
        <f ca="1">IFERROR(__xludf.DUMMYFUNCTION("IMPORTRANGE(""https://docs.google.com/spreadsheets/d/1-uDff_7J0KD5mKrp0Vvzr7lt3OU09vwQwhkpOPPYv2Y/edit?usp=sharing"",""งบพรบ!EO67"")"),0)</f>
        <v>0</v>
      </c>
      <c r="N328" s="427">
        <f ca="1">IFERROR(__xludf.DUMMYFUNCTION("IMPORTRANGE(""https://docs.google.com/spreadsheets/d/1-uDff_7J0KD5mKrp0Vvzr7lt3OU09vwQwhkpOPPYv2Y/edit?usp=sharing"",""งบพรบ!EQ67"")"),0)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IFERROR(__xludf.DUMMYFUNCTION("IMPORTRANGE(""https://docs.google.com/spreadsheets/d/1eHaY18a8A9IcSdp1K8H6x8fbOy06t2VsZHhMHf-1x7Y/edit?usp=sharing"",""แผน!EJ67"")"),0)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1060</v>
      </c>
      <c r="J332" s="404">
        <f ca="1">J344+J347+J348+J349+J353</f>
        <v>3108</v>
      </c>
      <c r="K332" s="405">
        <f ca="1">IF(I332&gt;0,J332*100/I332,0)</f>
        <v>293.20754716981133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108000</v>
      </c>
      <c r="M333" s="715">
        <f ca="1">M334+M335</f>
        <v>85750</v>
      </c>
      <c r="N333" s="715">
        <f ca="1">N334+N335</f>
        <v>39740</v>
      </c>
      <c r="O333" s="715">
        <f t="shared" ref="O333:O341" ca="1" si="45">IF(L333&gt;0,N333*100/L333,0)</f>
        <v>36.796296296296298</v>
      </c>
      <c r="P333" s="715">
        <f t="shared" ref="P333:P341" ca="1" si="46">IF(M333&gt;0,N333*100/M333,0)</f>
        <v>46.344023323615161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108000</v>
      </c>
      <c r="M335" s="427">
        <f t="shared" ca="1" si="47"/>
        <v>85750</v>
      </c>
      <c r="N335" s="427">
        <f t="shared" ca="1" si="47"/>
        <v>39740</v>
      </c>
      <c r="O335" s="427">
        <f t="shared" ca="1" si="45"/>
        <v>36.796296296296298</v>
      </c>
      <c r="P335" s="427">
        <f t="shared" ca="1" si="46"/>
        <v>46.344023323615161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108000</v>
      </c>
      <c r="M336" s="427">
        <f ca="1">M337+M338</f>
        <v>85750</v>
      </c>
      <c r="N336" s="427">
        <f ca="1">N337+N338</f>
        <v>39740</v>
      </c>
      <c r="O336" s="427">
        <f t="shared" ca="1" si="45"/>
        <v>36.796296296296298</v>
      </c>
      <c r="P336" s="427">
        <f t="shared" ca="1" si="46"/>
        <v>46.344023323615161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IFERROR(__xludf.DUMMYFUNCTION("IMPORTRANGE(""https://docs.google.com/spreadsheets/d/1-uDff_7J0KD5mKrp0Vvzr7lt3OU09vwQwhkpOPPYv2Y/edit?usp=sharing"",""งบพรบ!ES67"")"),108000)</f>
        <v>108000</v>
      </c>
      <c r="M338" s="427">
        <f ca="1">IFERROR(__xludf.DUMMYFUNCTION("IMPORTRANGE(""https://docs.google.com/spreadsheets/d/1-uDff_7J0KD5mKrp0Vvzr7lt3OU09vwQwhkpOPPYv2Y/edit?usp=sharing"",""งบพรบ!EX67"")"),85750)</f>
        <v>85750</v>
      </c>
      <c r="N338" s="427">
        <f ca="1">IFERROR(__xludf.DUMMYFUNCTION("IMPORTRANGE(""https://docs.google.com/spreadsheets/d/1-uDff_7J0KD5mKrp0Vvzr7lt3OU09vwQwhkpOPPYv2Y/edit?usp=sharing"",""งบพรบ!EZ67"")"),39740)</f>
        <v>39740</v>
      </c>
      <c r="O338" s="427">
        <f t="shared" ca="1" si="45"/>
        <v>36.796296296296298</v>
      </c>
      <c r="P338" s="427">
        <f t="shared" ca="1" si="46"/>
        <v>46.344023323615161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IFERROR(__xludf.DUMMYFUNCTION("IMPORTRANGE(""https://docs.google.com/spreadsheets/d/1-uDff_7J0KD5mKrp0Vvzr7lt3OU09vwQwhkpOPPYv2Y/edit?usp=sharing"",""งบพรบ!EV67"")"),0)</f>
        <v>0</v>
      </c>
      <c r="M341" s="427">
        <f ca="1">IFERROR(__xludf.DUMMYFUNCTION("IMPORTRANGE(""https://docs.google.com/spreadsheets/d/1-uDff_7J0KD5mKrp0Vvzr7lt3OU09vwQwhkpOPPYv2Y/edit?usp=sharing"",""งบพรบ!EY67"")"),0)</f>
        <v>0</v>
      </c>
      <c r="N341" s="427">
        <f ca="1">IFERROR(__xludf.DUMMYFUNCTION("IMPORTRANGE(""https://docs.google.com/spreadsheets/d/1-uDff_7J0KD5mKrp0Vvzr7lt3OU09vwQwhkpOPPYv2Y/edit?usp=sharing"",""งบพรบ!FA67"")"),0)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1097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IFERROR(__xludf.DUMMYFUNCTION("IMPORTRANGE(""https://docs.google.com/spreadsheets/d/1eHaY18a8A9IcSdp1K8H6x8fbOy06t2VsZHhMHf-1x7Y/edit?usp=sharing"",""แผน!EK67"")"),1060)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IFERROR(__xludf.DUMMYFUNCTION("IMPORTRANGE(""https://docs.google.com/spreadsheets/d/1awYsYK3VOup2i3Pq_Yjnu8DRu_mYwSBnCR2QPthd0rU/edit?usp=sharing"",""ศูนย์ยกเว้นโฉนด!D67"")"),1096)</f>
        <v>1096</v>
      </c>
      <c r="K344" s="427">
        <f ca="1">IF(I344&gt;0,J344*100/I344,0)</f>
        <v>103.39622641509433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IFERROR(__xludf.DUMMYFUNCTION("IMPORTRANGE(""https://docs.google.com/spreadsheets/d/1eHaY18a8A9IcSdp1K8H6x8fbOy06t2VsZHhMHf-1x7Y/edit?usp=sharing"",""แผน!EL67"")"),4)</f>
        <v>4</v>
      </c>
      <c r="J346" s="426">
        <f ca="1">IFERROR(__xludf.DUMMYFUNCTION("IMPORTRANGE(""https://docs.google.com/spreadsheets/d/1awYsYK3VOup2i3Pq_Yjnu8DRu_mYwSBnCR2QPthd0rU/edit?usp=sharing"",""ศูนย์รวม!E67"")"),3)</f>
        <v>3</v>
      </c>
      <c r="K346" s="427">
        <f ca="1">IF(I346&gt;0,J346*100/I346,0)</f>
        <v>75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IFERROR(__xludf.DUMMYFUNCTION("IMPORTRANGE(""https://docs.google.com/spreadsheets/d/1awYsYK3VOup2i3Pq_Yjnu8DRu_mYwSBnCR2QPthd0rU/edit?usp=sharing"",""ศูนย์ยกเว้นโฉนด!G67"")"),1)</f>
        <v>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2218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IFERROR(__xludf.DUMMYFUNCTION("IMPORTRANGE(""https://docs.google.com/spreadsheets/d/1awYsYK3VOup2i3Pq_Yjnu8DRu_mYwSBnCR2QPthd0rU/edit?usp=sharing"",""โฉนดM3!G67"")"),207)</f>
        <v>207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IFERROR(__xludf.DUMMYFUNCTION("IMPORTRANGE(""https://docs.google.com/spreadsheets/d/1awYsYK3VOup2i3Pq_Yjnu8DRu_mYwSBnCR2QPthd0rU/edit?usp=sharing"",""โฉนดM3!H67"")"),2011)</f>
        <v>2011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591785</v>
      </c>
      <c r="M356" s="715">
        <f ca="1">M357+M358</f>
        <v>453585</v>
      </c>
      <c r="N356" s="715">
        <f ca="1">N357+N358</f>
        <v>185595</v>
      </c>
      <c r="O356" s="715">
        <f t="shared" ref="O356:O364" ca="1" si="48">IF(L356&gt;0,N356*100/L356,0)</f>
        <v>31.361896634757557</v>
      </c>
      <c r="P356" s="715">
        <f t="shared" ref="P356:P364" ca="1" si="49">IF(M356&gt;0,N356*100/M356,0)</f>
        <v>40.917358378253248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591785</v>
      </c>
      <c r="M358" s="427">
        <f t="shared" ca="1" si="50"/>
        <v>453585</v>
      </c>
      <c r="N358" s="427">
        <f t="shared" ca="1" si="50"/>
        <v>185595</v>
      </c>
      <c r="O358" s="427">
        <f t="shared" ca="1" si="48"/>
        <v>31.361896634757557</v>
      </c>
      <c r="P358" s="427">
        <f t="shared" ca="1" si="49"/>
        <v>40.917358378253248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591785</v>
      </c>
      <c r="M359" s="427">
        <f ca="1">M360+M361</f>
        <v>453585</v>
      </c>
      <c r="N359" s="427">
        <f ca="1">N360+N361</f>
        <v>185595</v>
      </c>
      <c r="O359" s="427">
        <f t="shared" ca="1" si="48"/>
        <v>31.361896634757557</v>
      </c>
      <c r="P359" s="427">
        <f t="shared" ca="1" si="49"/>
        <v>40.917358378253248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IFERROR(__xludf.DUMMYFUNCTION("IMPORTRANGE(""https://docs.google.com/spreadsheets/d/1-uDff_7J0KD5mKrp0Vvzr7lt3OU09vwQwhkpOPPYv2Y/edit?usp=sharing"",""งบพรบ!FC67"")"),591785)</f>
        <v>591785</v>
      </c>
      <c r="M361" s="427">
        <f ca="1">IFERROR(__xludf.DUMMYFUNCTION("IMPORTRANGE(""https://docs.google.com/spreadsheets/d/1-uDff_7J0KD5mKrp0Vvzr7lt3OU09vwQwhkpOPPYv2Y/edit?usp=sharing"",""งบพรบ!FH67"")"),453585)</f>
        <v>453585</v>
      </c>
      <c r="N361" s="427">
        <f ca="1">IFERROR(__xludf.DUMMYFUNCTION("IMPORTRANGE(""https://docs.google.com/spreadsheets/d/1-uDff_7J0KD5mKrp0Vvzr7lt3OU09vwQwhkpOPPYv2Y/edit?usp=sharing"",""งบพรบ!FJ67"")"),185595)</f>
        <v>185595</v>
      </c>
      <c r="O361" s="427">
        <f t="shared" ca="1" si="48"/>
        <v>31.361896634757557</v>
      </c>
      <c r="P361" s="427">
        <f t="shared" ca="1" si="49"/>
        <v>40.917358378253248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IFERROR(__xludf.DUMMYFUNCTION("IMPORTRANGE(""https://docs.google.com/spreadsheets/d/1-uDff_7J0KD5mKrp0Vvzr7lt3OU09vwQwhkpOPPYv2Y/edit?usp=sharing"",""งบพรบ!FF67"")"),0)</f>
        <v>0</v>
      </c>
      <c r="M364" s="427">
        <f ca="1">IFERROR(__xludf.DUMMYFUNCTION("IMPORTRANGE(""https://docs.google.com/spreadsheets/d/1-uDff_7J0KD5mKrp0Vvzr7lt3OU09vwQwhkpOPPYv2Y/edit?usp=sharing"",""งบพรบ!FI67"")"),0)</f>
        <v>0</v>
      </c>
      <c r="N364" s="427">
        <f ca="1">IFERROR(__xludf.DUMMYFUNCTION("IMPORTRANGE(""https://docs.google.com/spreadsheets/d/1-uDff_7J0KD5mKrp0Vvzr7lt3OU09vwQwhkpOPPYv2Y/edit?usp=sharing"",""งบพรบ!FK67"")"),0)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83</v>
      </c>
      <c r="J365" s="440">
        <f ca="1">J371</f>
        <v>64</v>
      </c>
      <c r="K365" s="441">
        <f ca="1">IF(I365&gt;0,J365*100/I365,0)</f>
        <v>77.108433734939766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IFERROR(__xludf.DUMMYFUNCTION("IMPORTRANGE(""https://docs.google.com/spreadsheets/d/1tdoBKaGub7dwA3U6UFTqxio9LNnvDCQjHKmttSEBsFQ/edit?usp=sharing"",""จัดที่ดิน!AB67"")"),17)</f>
        <v>17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IFERROR(__xludf.DUMMYFUNCTION("IMPORTRANGE(""https://docs.google.com/spreadsheets/d/1eHaY18a8A9IcSdp1K8H6x8fbOy06t2VsZHhMHf-1x7Y/edit?usp=sharing"",""แผน!EW67"")"),840)</f>
        <v>840</v>
      </c>
      <c r="J368" s="704">
        <f ca="1">IFERROR(__xludf.DUMMYFUNCTION("IMPORTRANGE(""https://docs.google.com/spreadsheets/d/1tdoBKaGub7dwA3U6UFTqxio9LNnvDCQjHKmttSEBsFQ/edit?usp=sharing"",""จัดที่ดิน!AC67"")"),102.28)</f>
        <v>102.28</v>
      </c>
      <c r="K368" s="427">
        <f t="shared" ca="1" si="51"/>
        <v>12.176190476190476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IFERROR(__xludf.DUMMYFUNCTION("IMPORTRANGE(""https://docs.google.com/spreadsheets/d/1eHaY18a8A9IcSdp1K8H6x8fbOy06t2VsZHhMHf-1x7Y/edit?usp=sharing"",""แผน!EX67"")"),123)</f>
        <v>123</v>
      </c>
      <c r="J369" s="426">
        <f ca="1">IFERROR(__xludf.DUMMYFUNCTION("IMPORTRANGE(""https://docs.google.com/spreadsheets/d/1tdoBKaGub7dwA3U6UFTqxio9LNnvDCQjHKmttSEBsFQ/edit?usp=sharing"",""จัดที่ดิน!AD67"")"),64)</f>
        <v>64</v>
      </c>
      <c r="K369" s="427">
        <f t="shared" ca="1" si="51"/>
        <v>52.032520325203251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IFERROR(__xludf.DUMMYFUNCTION("IMPORTRANGE(""https://docs.google.com/spreadsheets/d/1tdoBKaGub7dwA3U6UFTqxio9LNnvDCQjHKmttSEBsFQ/edit?usp=sharing"",""จัดที่ดิน!AE67"")"),661.05)</f>
        <v>661.05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IFERROR(__xludf.DUMMYFUNCTION("IMPORTRANGE(""https://docs.google.com/spreadsheets/d/1eHaY18a8A9IcSdp1K8H6x8fbOy06t2VsZHhMHf-1x7Y/edit?usp=sharing"",""แผน!EY67"")"),83)</f>
        <v>83</v>
      </c>
      <c r="J371" s="426">
        <f ca="1">IFERROR(__xludf.DUMMYFUNCTION("IMPORTRANGE(""https://docs.google.com/spreadsheets/d/1tdoBKaGub7dwA3U6UFTqxio9LNnvDCQjHKmttSEBsFQ/edit?usp=sharing"",""จัดที่ดิน!AF67"")"),64)</f>
        <v>64</v>
      </c>
      <c r="K371" s="427">
        <f t="shared" ca="1" si="51"/>
        <v>77.108433734939766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IFERROR(__xludf.DUMMYFUNCTION("IMPORTRANGE(""https://docs.google.com/spreadsheets/d/1tdoBKaGub7dwA3U6UFTqxio9LNnvDCQjHKmttSEBsFQ/edit?usp=sharing"",""จัดที่ดิน!AG67"")"),661.05)</f>
        <v>661.05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IFERROR(__xludf.DUMMYFUNCTION("IMPORTRANGE(""https://docs.google.com/spreadsheets/d/1-uDff_7J0KD5mKrp0Vvzr7lt3OU09vwQwhkpOPPYv2Y/edit?usp=sharing"",""งบพรบ!FM67"")"),0)</f>
        <v>0</v>
      </c>
      <c r="M382" s="502">
        <f ca="1">IFERROR(__xludf.DUMMYFUNCTION("IMPORTRANGE(""https://docs.google.com/spreadsheets/d/1-uDff_7J0KD5mKrp0Vvzr7lt3OU09vwQwhkpOPPYv2Y/edit?usp=sharing"",""งบพรบ!FR67"")"),0)</f>
        <v>0</v>
      </c>
      <c r="N382" s="502">
        <f ca="1">IFERROR(__xludf.DUMMYFUNCTION("IMPORTRANGE(""https://docs.google.com/spreadsheets/d/1-uDff_7J0KD5mKrp0Vvzr7lt3OU09vwQwhkpOPPYv2Y/edit?usp=sharing"",""งบพรบ!FT67"")"),0)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IFERROR(__xludf.DUMMYFUNCTION("IMPORTRANGE(""https://docs.google.com/spreadsheets/d/1-uDff_7J0KD5mKrp0Vvzr7lt3OU09vwQwhkpOPPYv2Y/edit?usp=sharing"",""งบพรบ!FP67"")"),0)</f>
        <v>0</v>
      </c>
      <c r="M385" s="502">
        <f ca="1">IFERROR(__xludf.DUMMYFUNCTION("IMPORTRANGE(""https://docs.google.com/spreadsheets/d/1-uDff_7J0KD5mKrp0Vvzr7lt3OU09vwQwhkpOPPYv2Y/edit?usp=sharing"",""งบพรบ!FS67"")"),0)</f>
        <v>0</v>
      </c>
      <c r="N385" s="502">
        <f ca="1">IFERROR(__xludf.DUMMYFUNCTION("IMPORTRANGE(""https://docs.google.com/spreadsheets/d/1-uDff_7J0KD5mKrp0Vvzr7lt3OU09vwQwhkpOPPYv2Y/edit?usp=sharing"",""งบพรบ!FU67"")"),0)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30F79-AE9D-4924-B830-D742A45CCE14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268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2488590</v>
      </c>
      <c r="M18" s="843">
        <f ca="1">M19+M20</f>
        <v>2067510</v>
      </c>
      <c r="N18" s="843">
        <f ca="1">N19+N20</f>
        <v>989378.23</v>
      </c>
      <c r="O18" s="843">
        <f t="shared" ref="O18:O26" ca="1" si="0">IF(L18&gt;0,N18*100/L18,0)</f>
        <v>39.756578223009818</v>
      </c>
      <c r="P18" s="843">
        <f t="shared" ref="P18:P26" ca="1" si="1">IF(M18&gt;0,N18*100/M18,0)</f>
        <v>47.853612799938091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2488590</v>
      </c>
      <c r="M20" s="947">
        <f t="shared" ca="1" si="2"/>
        <v>2067510</v>
      </c>
      <c r="N20" s="947">
        <f t="shared" ca="1" si="2"/>
        <v>989378.23</v>
      </c>
      <c r="O20" s="947">
        <f t="shared" ca="1" si="0"/>
        <v>39.756578223009818</v>
      </c>
      <c r="P20" s="947">
        <f t="shared" ca="1" si="1"/>
        <v>47.853612799938091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2488590</v>
      </c>
      <c r="M21" s="427">
        <f ca="1">M22+M23</f>
        <v>2067510</v>
      </c>
      <c r="N21" s="427">
        <f ca="1">N22+N23</f>
        <v>989378.23</v>
      </c>
      <c r="O21" s="427">
        <f t="shared" ca="1" si="0"/>
        <v>39.756578223009818</v>
      </c>
      <c r="P21" s="427">
        <f t="shared" ca="1" si="1"/>
        <v>47.853612799938091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2488590</v>
      </c>
      <c r="M23" s="427">
        <f t="shared" ca="1" si="3"/>
        <v>2067510</v>
      </c>
      <c r="N23" s="427">
        <f t="shared" ca="1" si="3"/>
        <v>989378.23</v>
      </c>
      <c r="O23" s="427">
        <f t="shared" ca="1" si="0"/>
        <v>39.756578223009818</v>
      </c>
      <c r="P23" s="427">
        <f t="shared" ca="1" si="1"/>
        <v>47.853612799938091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2488590</v>
      </c>
      <c r="M40" s="940">
        <f ca="1">M44+M59+M72+M94+M125+M139+M157+M173+M186+M266+M282+M303+M320+M333+M356</f>
        <v>2067510</v>
      </c>
      <c r="N40" s="940">
        <f ca="1">N44+N59+N72+N94+N125+N139+N157+N173+N186+N266+N282+N303+N320+N333+N356</f>
        <v>989378.23</v>
      </c>
      <c r="O40" s="940">
        <f ca="1">IF(L40&gt;0,N40*100/L40,0)</f>
        <v>39.756578223009818</v>
      </c>
      <c r="P40" s="940">
        <f ca="1">IF(M40&gt;0,N40*100/M40,0)</f>
        <v>47.853612799938091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441000</v>
      </c>
      <c r="M44" s="925">
        <f ca="1">M45+M46</f>
        <v>445500</v>
      </c>
      <c r="N44" s="925">
        <f ca="1">N45+N46</f>
        <v>205736</v>
      </c>
      <c r="O44" s="925">
        <f t="shared" ref="O44:O52" ca="1" si="5">IF(L44&gt;0,N44*100/L44,0)</f>
        <v>46.652154195011335</v>
      </c>
      <c r="P44" s="925">
        <f t="shared" ref="P44:P52" ca="1" si="6">IF(M44&gt;0,N44*100/M44,0)</f>
        <v>46.180920314253648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441000</v>
      </c>
      <c r="M46" s="917">
        <f t="shared" ca="1" si="7"/>
        <v>445500</v>
      </c>
      <c r="N46" s="917">
        <f t="shared" ca="1" si="7"/>
        <v>205736</v>
      </c>
      <c r="O46" s="917">
        <f t="shared" ca="1" si="5"/>
        <v>46.652154195011335</v>
      </c>
      <c r="P46" s="917">
        <f t="shared" ca="1" si="6"/>
        <v>46.180920314253648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441000</v>
      </c>
      <c r="M47" s="427">
        <f ca="1">M48+M49</f>
        <v>445500</v>
      </c>
      <c r="N47" s="427">
        <f ca="1">N48+N49</f>
        <v>205736</v>
      </c>
      <c r="O47" s="427">
        <f t="shared" ca="1" si="5"/>
        <v>46.652154195011335</v>
      </c>
      <c r="P47" s="427">
        <f t="shared" ca="1" si="6"/>
        <v>46.180920314253648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IFERROR(__xludf.DUMMYFUNCTION("IMPORTRANGE(""https://docs.google.com/spreadsheets/d/1-uDff_7J0KD5mKrp0Vvzr7lt3OU09vwQwhkpOPPYv2Y/edit?usp=sharing"",""งบพรบ!P68"")"),441000)</f>
        <v>441000</v>
      </c>
      <c r="M49" s="427">
        <f ca="1">IFERROR(__xludf.DUMMYFUNCTION("IMPORTRANGE(""https://docs.google.com/spreadsheets/d/1-uDff_7J0KD5mKrp0Vvzr7lt3OU09vwQwhkpOPPYv2Y/edit?usp=sharing"",""งบพรบ!V68"")"),445500)</f>
        <v>445500</v>
      </c>
      <c r="N49" s="427">
        <f ca="1">IFERROR(__xludf.DUMMYFUNCTION("IMPORTRANGE(""https://docs.google.com/spreadsheets/d/1-uDff_7J0KD5mKrp0Vvzr7lt3OU09vwQwhkpOPPYv2Y/edit?usp=sharing"",""งบพรบ!Y68"")"),205736)</f>
        <v>205736</v>
      </c>
      <c r="O49" s="427">
        <f t="shared" ca="1" si="5"/>
        <v>46.652154195011335</v>
      </c>
      <c r="P49" s="427">
        <f t="shared" ca="1" si="6"/>
        <v>46.180920314253648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IFERROR(__xludf.DUMMYFUNCTION("IMPORTRANGE(""https://docs.google.com/spreadsheets/d/1-uDff_7J0KD5mKrp0Vvzr7lt3OU09vwQwhkpOPPYv2Y/edit?usp=sharing"",""งบพรบ!S68"")"),0)</f>
        <v>0</v>
      </c>
      <c r="M52" s="427">
        <f ca="1">IFERROR(__xludf.DUMMYFUNCTION("IMPORTRANGE(""https://docs.google.com/spreadsheets/d/1-uDff_7J0KD5mKrp0Vvzr7lt3OU09vwQwhkpOPPYv2Y/edit?usp=sharing"",""งบพรบ!W68"")"),0)</f>
        <v>0</v>
      </c>
      <c r="N52" s="427">
        <f ca="1">IFERROR(__xludf.DUMMYFUNCTION("IMPORTRANGE(""https://docs.google.com/spreadsheets/d/1-uDff_7J0KD5mKrp0Vvzr7lt3OU09vwQwhkpOPPYv2Y/edit?usp=sharing"",""งบพรบ!Z68"")"),0)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544900</v>
      </c>
      <c r="M59" s="899">
        <f ca="1">M60+M61</f>
        <v>410650</v>
      </c>
      <c r="N59" s="899">
        <f ca="1">N60+N61</f>
        <v>300597.58</v>
      </c>
      <c r="O59" s="899">
        <f t="shared" ref="O59:O67" ca="1" si="8">IF(L59&gt;0,N59*100/L59,0)</f>
        <v>55.165641402092128</v>
      </c>
      <c r="P59" s="899">
        <f t="shared" ref="P59:P67" ca="1" si="9">IF(M59&gt;0,N59*100/M59,0)</f>
        <v>73.200433459150133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544900</v>
      </c>
      <c r="M61" s="891">
        <f t="shared" ca="1" si="10"/>
        <v>410650</v>
      </c>
      <c r="N61" s="891">
        <f t="shared" ca="1" si="10"/>
        <v>300597.58</v>
      </c>
      <c r="O61" s="891">
        <f t="shared" ca="1" si="8"/>
        <v>55.165641402092128</v>
      </c>
      <c r="P61" s="891">
        <f t="shared" ca="1" si="9"/>
        <v>73.200433459150133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544900</v>
      </c>
      <c r="M62" s="427">
        <f ca="1">M63+M64</f>
        <v>410650</v>
      </c>
      <c r="N62" s="427">
        <f ca="1">N63+N64</f>
        <v>300597.58</v>
      </c>
      <c r="O62" s="427">
        <f t="shared" ca="1" si="8"/>
        <v>55.165641402092128</v>
      </c>
      <c r="P62" s="427">
        <f t="shared" ca="1" si="9"/>
        <v>73.200433459150133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IFERROR(__xludf.DUMMYFUNCTION("IMPORTRANGE(""https://docs.google.com/spreadsheets/d/1-uDff_7J0KD5mKrp0Vvzr7lt3OU09vwQwhkpOPPYv2Y/edit?usp=sharing"",""งบพรบ!AC68"")"),544900)</f>
        <v>544900</v>
      </c>
      <c r="M64" s="427">
        <f ca="1">IFERROR(__xludf.DUMMYFUNCTION("IMPORTRANGE(""https://docs.google.com/spreadsheets/d/1-uDff_7J0KD5mKrp0Vvzr7lt3OU09vwQwhkpOPPYv2Y/edit?usp=sharing"",""งบพรบ!AH68"")"),410650)</f>
        <v>410650</v>
      </c>
      <c r="N64" s="427">
        <f ca="1">IFERROR(__xludf.DUMMYFUNCTION("IMPORTRANGE(""https://docs.google.com/spreadsheets/d/1-uDff_7J0KD5mKrp0Vvzr7lt3OU09vwQwhkpOPPYv2Y/edit?usp=sharing"",""งบพรบ!AJ68"")"),300597.58)</f>
        <v>300597.58</v>
      </c>
      <c r="O64" s="427">
        <f t="shared" ca="1" si="8"/>
        <v>55.165641402092128</v>
      </c>
      <c r="P64" s="427">
        <f t="shared" ca="1" si="9"/>
        <v>73.200433459150133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IFERROR(__xludf.DUMMYFUNCTION("IMPORTRANGE(""https://docs.google.com/spreadsheets/d/1-uDff_7J0KD5mKrp0Vvzr7lt3OU09vwQwhkpOPPYv2Y/edit?usp=sharing"",""งบพรบ!AF68"")"),0)</f>
        <v>0</v>
      </c>
      <c r="M67" s="624">
        <f ca="1">IFERROR(__xludf.DUMMYFUNCTION("IMPORTRANGE(""https://docs.google.com/spreadsheets/d/1-uDff_7J0KD5mKrp0Vvzr7lt3OU09vwQwhkpOPPYv2Y/edit?usp=sharing"",""งบพรบ!AI68"")"),0)</f>
        <v>0</v>
      </c>
      <c r="N67" s="624">
        <f ca="1">IFERROR(__xludf.DUMMYFUNCTION("IMPORTRANGE(""https://docs.google.com/spreadsheets/d/1-uDff_7J0KD5mKrp0Vvzr7lt3OU09vwQwhkpOPPYv2Y/edit?usp=sharing"",""งบพรบ!AK68"")"),0)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1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51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556000</v>
      </c>
      <c r="M72" s="715">
        <f ca="1">M73+M74</f>
        <v>482300</v>
      </c>
      <c r="N72" s="715">
        <f ca="1">N73+N74</f>
        <v>139613.65</v>
      </c>
      <c r="O72" s="715">
        <f t="shared" ref="O72:O80" ca="1" si="11">IF(L72&gt;0,N72*100/L72,0)</f>
        <v>25.11036870503597</v>
      </c>
      <c r="P72" s="715">
        <f t="shared" ref="P72:P80" ca="1" si="12">IF(M72&gt;0,N72*100/M72,0)</f>
        <v>28.947470454074228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556000</v>
      </c>
      <c r="M74" s="427">
        <f t="shared" ca="1" si="13"/>
        <v>482300</v>
      </c>
      <c r="N74" s="427">
        <f t="shared" ca="1" si="13"/>
        <v>139613.65</v>
      </c>
      <c r="O74" s="427">
        <f t="shared" ca="1" si="11"/>
        <v>25.11036870503597</v>
      </c>
      <c r="P74" s="427">
        <f t="shared" ca="1" si="12"/>
        <v>28.947470454074228</v>
      </c>
    </row>
    <row r="75" spans="1:16" ht="18.75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556000</v>
      </c>
      <c r="M75" s="427">
        <f ca="1">M76+M77</f>
        <v>482300</v>
      </c>
      <c r="N75" s="427">
        <f ca="1">N76+N77</f>
        <v>139613.65</v>
      </c>
      <c r="O75" s="427">
        <f t="shared" ca="1" si="11"/>
        <v>25.11036870503597</v>
      </c>
      <c r="P75" s="427">
        <f t="shared" ca="1" si="12"/>
        <v>28.947470454074228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IFERROR(__xludf.DUMMYFUNCTION("IMPORTRANGE(""https://docs.google.com/spreadsheets/d/1-uDff_7J0KD5mKrp0Vvzr7lt3OU09vwQwhkpOPPYv2Y/edit?usp=sharing"",""งบพรบ!AM68"")"),556000)</f>
        <v>556000</v>
      </c>
      <c r="M77" s="427">
        <f ca="1">IFERROR(__xludf.DUMMYFUNCTION("IMPORTRANGE(""https://docs.google.com/spreadsheets/d/1-uDff_7J0KD5mKrp0Vvzr7lt3OU09vwQwhkpOPPYv2Y/edit?usp=sharing"",""งบพรบ!AR68"")"),482300)</f>
        <v>482300</v>
      </c>
      <c r="N77" s="427">
        <f ca="1">IFERROR(__xludf.DUMMYFUNCTION("IMPORTRANGE(""https://docs.google.com/spreadsheets/d/1-uDff_7J0KD5mKrp0Vvzr7lt3OU09vwQwhkpOPPYv2Y/edit?usp=sharing"",""งบพรบ!AT68"")"),139613.65)</f>
        <v>139613.65</v>
      </c>
      <c r="O77" s="427">
        <f t="shared" ca="1" si="11"/>
        <v>25.11036870503597</v>
      </c>
      <c r="P77" s="427">
        <f t="shared" ca="1" si="12"/>
        <v>28.947470454074228</v>
      </c>
    </row>
    <row r="78" spans="1:16" ht="18.75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IFERROR(__xludf.DUMMYFUNCTION("IMPORTRANGE(""https://docs.google.com/spreadsheets/d/1-uDff_7J0KD5mKrp0Vvzr7lt3OU09vwQwhkpOPPYv2Y/edit?usp=sharing"",""งบพรบ!AP68"")"),0)</f>
        <v>0</v>
      </c>
      <c r="M80" s="427">
        <f ca="1">IFERROR(__xludf.DUMMYFUNCTION("IMPORTRANGE(""https://docs.google.com/spreadsheets/d/1-uDff_7J0KD5mKrp0Vvzr7lt3OU09vwQwhkpOPPYv2Y/edit?usp=sharing"",""งบพรบ!AS68"")"),0)</f>
        <v>0</v>
      </c>
      <c r="N80" s="427">
        <f ca="1">IFERROR(__xludf.DUMMYFUNCTION("IMPORTRANGE(""https://docs.google.com/spreadsheets/d/1-uDff_7J0KD5mKrp0Vvzr7lt3OU09vwQwhkpOPPYv2Y/edit?usp=sharing"",""งบพรบ!AU68"")"),0)</f>
        <v>0</v>
      </c>
      <c r="O80" s="427">
        <f t="shared" ca="1" si="11"/>
        <v>0</v>
      </c>
      <c r="P80" s="427">
        <f t="shared" ca="1" si="12"/>
        <v>0</v>
      </c>
    </row>
    <row r="81" spans="1:16" ht="19.5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1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51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IFERROR(__xludf.DUMMYFUNCTION("IMPORTRANGE(""https://docs.google.com/spreadsheets/d/1eHaY18a8A9IcSdp1K8H6x8fbOy06t2VsZHhMHf-1x7Y/edit?usp=sharing"",""แผน!H68"")"),0)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IFERROR(__xludf.DUMMYFUNCTION("IMPORTRANGE(""https://docs.google.com/spreadsheets/d/1eHaY18a8A9IcSdp1K8H6x8fbOy06t2VsZHhMHf-1x7Y/edit?usp=sharing"",""แผน!I68"")"),0)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IFERROR(__xludf.DUMMYFUNCTION("IMPORTRANGE(""https://docs.google.com/spreadsheets/d/1eHaY18a8A9IcSdp1K8H6x8fbOy06t2VsZHhMHf-1x7Y/edit?usp=sharing"",""แผน!F68"")"),0)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IFERROR(__xludf.DUMMYFUNCTION("IMPORTRANGE(""https://docs.google.com/spreadsheets/d/1eHaY18a8A9IcSdp1K8H6x8fbOy06t2VsZHhMHf-1x7Y/edit?usp=sharing"",""แผน!G68"")"),0)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IFERROR(__xludf.DUMMYFUNCTION("IMPORTRANGE(""https://docs.google.com/spreadsheets/d/1eHaY18a8A9IcSdp1K8H6x8fbOy06t2VsZHhMHf-1x7Y/edit?usp=sharing"",""แผน!D68"")"),1)</f>
        <v>1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IFERROR(__xludf.DUMMYFUNCTION("IMPORTRANGE(""https://docs.google.com/spreadsheets/d/1eHaY18a8A9IcSdp1K8H6x8fbOy06t2VsZHhMHf-1x7Y/edit?usp=sharing"",""แผน!E68"")"),51)</f>
        <v>51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IFERROR(__xludf.DUMMYFUNCTION("IMPORTRANGE(""https://docs.google.com/spreadsheets/d/1eHaY18a8A9IcSdp1K8H6x8fbOy06t2VsZHhMHf-1x7Y/edit?usp=sharing"",""แผน!J68"")"),1)</f>
        <v>1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IFERROR(__xludf.DUMMYFUNCTION("IMPORTRANGE(""https://docs.google.com/spreadsheets/d/1-uDff_7J0KD5mKrp0Vvzr7lt3OU09vwQwhkpOPPYv2Y/edit?usp=sharing"",""งบพรบ!AW68"")"),0)</f>
        <v>0</v>
      </c>
      <c r="M99" s="427">
        <f ca="1">IFERROR(__xludf.DUMMYFUNCTION("IMPORTRANGE(""https://docs.google.com/spreadsheets/d/1-uDff_7J0KD5mKrp0Vvzr7lt3OU09vwQwhkpOPPYv2Y/edit?usp=sharing"",""งบพรบ!BB68"")"),0)</f>
        <v>0</v>
      </c>
      <c r="N99" s="427">
        <f ca="1">IFERROR(__xludf.DUMMYFUNCTION("IMPORTRANGE(""https://docs.google.com/spreadsheets/d/1-uDff_7J0KD5mKrp0Vvzr7lt3OU09vwQwhkpOPPYv2Y/edit?usp=sharing"",""งบพรบ!BD68"")"),0)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IFERROR(__xludf.DUMMYFUNCTION("IMPORTRANGE(""https://docs.google.com/spreadsheets/d/1-uDff_7J0KD5mKrp0Vvzr7lt3OU09vwQwhkpOPPYv2Y/edit?usp=sharing"",""งบพรบ!AZ68"")"),0)</f>
        <v>0</v>
      </c>
      <c r="M102" s="427">
        <f ca="1">IFERROR(__xludf.DUMMYFUNCTION("IMPORTRANGE(""https://docs.google.com/spreadsheets/d/1-uDff_7J0KD5mKrp0Vvzr7lt3OU09vwQwhkpOPPYv2Y/edit?usp=sharing"",""งบพรบ!BC68"")"),0)</f>
        <v>0</v>
      </c>
      <c r="N102" s="427">
        <f ca="1">IFERROR(__xludf.DUMMYFUNCTION("IMPORTRANGE(""https://docs.google.com/spreadsheets/d/1-uDff_7J0KD5mKrp0Vvzr7lt3OU09vwQwhkpOPPYv2Y/edit?usp=sharing"",""งบพรบ!BE68"")"),0)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IFERROR(__xludf.DUMMYFUNCTION("IMPORTRANGE(""https://docs.google.com/spreadsheets/d/1eHaY18a8A9IcSdp1K8H6x8fbOy06t2VsZHhMHf-1x7Y/edit?usp=sharing"",""แผน!N68"")"),0)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IFERROR(__xludf.DUMMYFUNCTION("IMPORTRANGE(""https://docs.google.com/spreadsheets/d/1eHaY18a8A9IcSdp1K8H6x8fbOy06t2VsZHhMHf-1x7Y/edit?usp=sharing"",""แผน!O68"")"),0)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IFERROR(__xludf.DUMMYFUNCTION("IMPORTRANGE(""https://docs.google.com/spreadsheets/d/1eHaY18a8A9IcSdp1K8H6x8fbOy06t2VsZHhMHf-1x7Y/edit?usp=sharing"",""แผน!R68"")"),0)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IFERROR(__xludf.DUMMYFUNCTION("IMPORTRANGE(""https://docs.google.com/spreadsheets/d/1-uDff_7J0KD5mKrp0Vvzr7lt3OU09vwQwhkpOPPYv2Y/edit?usp=sharing"",""งบพรบ!BG68"")"),0)</f>
        <v>0</v>
      </c>
      <c r="M130" s="864">
        <f ca="1">IFERROR(__xludf.DUMMYFUNCTION("IMPORTRANGE(""https://docs.google.com/spreadsheets/d/1-uDff_7J0KD5mKrp0Vvzr7lt3OU09vwQwhkpOPPYv2Y/edit?usp=sharing"",""งบพรบ!BL68"")"),0)</f>
        <v>0</v>
      </c>
      <c r="N130" s="864">
        <f ca="1">IFERROR(__xludf.DUMMYFUNCTION("IMPORTRANGE(""https://docs.google.com/spreadsheets/d/1-uDff_7J0KD5mKrp0Vvzr7lt3OU09vwQwhkpOPPYv2Y/edit?usp=sharing"",""งบพรบ!BN68"")"),0)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IFERROR(__xludf.DUMMYFUNCTION("IMPORTRANGE(""https://docs.google.com/spreadsheets/d/1-uDff_7J0KD5mKrp0Vvzr7lt3OU09vwQwhkpOPPYv2Y/edit?usp=sharing"",""งบพรบ!BJ68"")"),0)</f>
        <v>0</v>
      </c>
      <c r="M133" s="864">
        <f ca="1">IFERROR(__xludf.DUMMYFUNCTION("IMPORTRANGE(""https://docs.google.com/spreadsheets/d/1-uDff_7J0KD5mKrp0Vvzr7lt3OU09vwQwhkpOPPYv2Y/edit?usp=sharing"",""งบพรบ!BM68"")"),0)</f>
        <v>0</v>
      </c>
      <c r="N133" s="864">
        <f ca="1">IFERROR(__xludf.DUMMYFUNCTION("IMPORTRANGE(""https://docs.google.com/spreadsheets/d/1-uDff_7J0KD5mKrp0Vvzr7lt3OU09vwQwhkpOPPYv2Y/edit?usp=sharing"",""งบพรบ!BO68"")"),0)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IFERROR(__xludf.DUMMYFUNCTION("IMPORTRANGE(""https://docs.google.com/spreadsheets/d/1-uDff_7J0KD5mKrp0Vvzr7lt3OU09vwQwhkpOPPYv2Y/edit?usp=sharing"",""งบพรบ!BQ68"")"),0)</f>
        <v>0</v>
      </c>
      <c r="M144" s="427">
        <f ca="1">IFERROR(__xludf.DUMMYFUNCTION("IMPORTRANGE(""https://docs.google.com/spreadsheets/d/1-uDff_7J0KD5mKrp0Vvzr7lt3OU09vwQwhkpOPPYv2Y/edit?usp=sharing"",""งบพรบ!BV68"")"),0)</f>
        <v>0</v>
      </c>
      <c r="N144" s="427">
        <f ca="1">IFERROR(__xludf.DUMMYFUNCTION("IMPORTRANGE(""https://docs.google.com/spreadsheets/d/1-uDff_7J0KD5mKrp0Vvzr7lt3OU09vwQwhkpOPPYv2Y/edit?usp=sharing"",""งบพรบ!BX68"")"),0)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IFERROR(__xludf.DUMMYFUNCTION("IMPORTRANGE(""https://docs.google.com/spreadsheets/d/1-uDff_7J0KD5mKrp0Vvzr7lt3OU09vwQwhkpOPPYv2Y/edit?usp=sharing"",""งบพรบ!BT68"")"),0)</f>
        <v>0</v>
      </c>
      <c r="M147" s="427">
        <f ca="1">IFERROR(__xludf.DUMMYFUNCTION("IMPORTRANGE(""https://docs.google.com/spreadsheets/d/1-uDff_7J0KD5mKrp0Vvzr7lt3OU09vwQwhkpOPPYv2Y/edit?usp=sharing"",""งบพรบ!BW68"")"),0)</f>
        <v>0</v>
      </c>
      <c r="N147" s="427">
        <f ca="1">IFERROR(__xludf.DUMMYFUNCTION("IMPORTRANGE(""https://docs.google.com/spreadsheets/d/1-uDff_7J0KD5mKrp0Vvzr7lt3OU09vwQwhkpOPPYv2Y/edit?usp=sharing"",""งบพรบ!BY68"")"),0)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IFERROR(__xludf.DUMMYFUNCTION("IMPORTRANGE(""https://docs.google.com/spreadsheets/d/1eHaY18a8A9IcSdp1K8H6x8fbOy06t2VsZHhMHf-1x7Y/edit?usp=sharing"",""แผน!U68"")"),0)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IFERROR(__xludf.DUMMYFUNCTION("IMPORTRANGE(""https://docs.google.com/spreadsheets/d/1eHaY18a8A9IcSdp1K8H6x8fbOy06t2VsZHhMHf-1x7Y/edit?usp=sharing"",""แผน!V68"")"),0)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IFERROR(__xludf.DUMMYFUNCTION("IMPORTRANGE(""https://docs.google.com/spreadsheets/d/1eHaY18a8A9IcSdp1K8H6x8fbOy06t2VsZHhMHf-1x7Y/edit?usp=sharing"",""แผน!W68"")"),0)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IFERROR(__xludf.DUMMYFUNCTION("IMPORTRANGE(""https://docs.google.com/spreadsheets/d/1eHaY18a8A9IcSdp1K8H6x8fbOy06t2VsZHhMHf-1x7Y/edit?usp=sharing"",""แผน!X68"")"),0)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IFERROR(__xludf.DUMMYFUNCTION("IMPORTRANGE(""https://docs.google.com/spreadsheets/d/1eHaY18a8A9IcSdp1K8H6x8fbOy06t2VsZHhMHf-1x7Y/edit?usp=sharing"",""แผน!Y68"")"),0)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IFERROR(__xludf.DUMMYFUNCTION("IMPORTRANGE(""https://docs.google.com/spreadsheets/d/1-uDff_7J0KD5mKrp0Vvzr7lt3OU09vwQwhkpOPPYv2Y/edit?usp=sharing"",""งบพรบ!CA68"")"),3000)</f>
        <v>3000</v>
      </c>
      <c r="M162" s="427">
        <f ca="1">IFERROR(__xludf.DUMMYFUNCTION("IMPORTRANGE(""https://docs.google.com/spreadsheets/d/1-uDff_7J0KD5mKrp0Vvzr7lt3OU09vwQwhkpOPPYv2Y/edit?usp=sharing"",""งบพรบ!CF68"")"),0)</f>
        <v>0</v>
      </c>
      <c r="N162" s="427">
        <f ca="1">IFERROR(__xludf.DUMMYFUNCTION("IMPORTRANGE(""https://docs.google.com/spreadsheets/d/1-uDff_7J0KD5mKrp0Vvzr7lt3OU09vwQwhkpOPPYv2Y/edit?usp=sharing"",""งบพรบ!CH68"")"),0)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IFERROR(__xludf.DUMMYFUNCTION("IMPORTRANGE(""https://docs.google.com/spreadsheets/d/1-uDff_7J0KD5mKrp0Vvzr7lt3OU09vwQwhkpOPPYv2Y/edit?usp=sharing"",""งบพรบ!CD68"")"),0)</f>
        <v>0</v>
      </c>
      <c r="M165" s="427">
        <f ca="1">IFERROR(__xludf.DUMMYFUNCTION("IMPORTRANGE(""https://docs.google.com/spreadsheets/d/1-uDff_7J0KD5mKrp0Vvzr7lt3OU09vwQwhkpOPPYv2Y/edit?usp=sharing"",""งบพรบ!CG68"")"),0)</f>
        <v>0</v>
      </c>
      <c r="N165" s="427">
        <f ca="1">IFERROR(__xludf.DUMMYFUNCTION("IMPORTRANGE(""https://docs.google.com/spreadsheets/d/1-uDff_7J0KD5mKrp0Vvzr7lt3OU09vwQwhkpOPPYv2Y/edit?usp=sharing"",""งบพรบ!CI68"")"),0)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IFERROR(__xludf.DUMMYFUNCTION("IMPORTRANGE(""https://docs.google.com/spreadsheets/d/1eHaY18a8A9IcSdp1K8H6x8fbOy06t2VsZHhMHf-1x7Y/edit?usp=sharing"",""แผน!Z68"")"),10)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19590</v>
      </c>
      <c r="O173" s="715">
        <f t="shared" ref="O173:O181" ca="1" si="27">IF(L173&gt;0,N173*100/L173,0)</f>
        <v>100</v>
      </c>
      <c r="P173" s="715">
        <f t="shared" ref="P173:P181" ca="1" si="28">IF(M173&gt;0,N173*100/M173,0)</f>
        <v>100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19590</v>
      </c>
      <c r="O175" s="427">
        <f t="shared" ca="1" si="27"/>
        <v>100</v>
      </c>
      <c r="P175" s="427">
        <f t="shared" ca="1" si="28"/>
        <v>100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t="shared" ca="1" si="27"/>
        <v>100</v>
      </c>
      <c r="P176" s="427">
        <f t="shared" ca="1" si="28"/>
        <v>100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IFERROR(__xludf.DUMMYFUNCTION("IMPORTRANGE(""https://docs.google.com/spreadsheets/d/1-uDff_7J0KD5mKrp0Vvzr7lt3OU09vwQwhkpOPPYv2Y/edit?usp=sharing"",""งบพรบ!CK68"")"),19590)</f>
        <v>19590</v>
      </c>
      <c r="M178" s="427">
        <f ca="1">IFERROR(__xludf.DUMMYFUNCTION("IMPORTRANGE(""https://docs.google.com/spreadsheets/d/1-uDff_7J0KD5mKrp0Vvzr7lt3OU09vwQwhkpOPPYv2Y/edit?usp=sharing"",""งบพรบ!CP68"")"),19590)</f>
        <v>19590</v>
      </c>
      <c r="N178" s="427">
        <f ca="1">IFERROR(__xludf.DUMMYFUNCTION("IMPORTRANGE(""https://docs.google.com/spreadsheets/d/1-uDff_7J0KD5mKrp0Vvzr7lt3OU09vwQwhkpOPPYv2Y/edit?usp=sharing"",""งบพรบ!CR68"")"),19590)</f>
        <v>19590</v>
      </c>
      <c r="O178" s="427">
        <f t="shared" ca="1" si="27"/>
        <v>100</v>
      </c>
      <c r="P178" s="427">
        <f t="shared" ca="1" si="28"/>
        <v>100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IFERROR(__xludf.DUMMYFUNCTION("IMPORTRANGE(""https://docs.google.com/spreadsheets/d/1-uDff_7J0KD5mKrp0Vvzr7lt3OU09vwQwhkpOPPYv2Y/edit?usp=sharing"",""งบพรบ!CN68"")"),0)</f>
        <v>0</v>
      </c>
      <c r="M181" s="427">
        <f ca="1">IFERROR(__xludf.DUMMYFUNCTION("IMPORTRANGE(""https://docs.google.com/spreadsheets/d/1-uDff_7J0KD5mKrp0Vvzr7lt3OU09vwQwhkpOPPYv2Y/edit?usp=sharing"",""งบพรบ!CQ68"")"),0)</f>
        <v>0</v>
      </c>
      <c r="N181" s="427">
        <f ca="1">IFERROR(__xludf.DUMMYFUNCTION("IMPORTRANGE(""https://docs.google.com/spreadsheets/d/1-uDff_7J0KD5mKrp0Vvzr7lt3OU09vwQwhkpOPPYv2Y/edit?usp=sharing"",""งบพรบ!CS68"")"),0)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IFERROR(__xludf.DUMMYFUNCTION("IMPORTRANGE(""https://docs.google.com/spreadsheets/d/1eHaY18a8A9IcSdp1K8H6x8fbOy06t2VsZHhMHf-1x7Y/edit?usp=sharing"",""แผน!AA68"")"),7)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49500</v>
      </c>
      <c r="M186" s="715">
        <f ca="1">M187+M188</f>
        <v>22500</v>
      </c>
      <c r="N186" s="715">
        <f ca="1">N187+N188</f>
        <v>0</v>
      </c>
      <c r="O186" s="715">
        <f t="shared" ref="O186:O194" ca="1" si="30">IF(L186&gt;0,N186*100/L186,0)</f>
        <v>0</v>
      </c>
      <c r="P186" s="715">
        <f t="shared" ref="P186:P194" ca="1" si="31">IF(M186&gt;0,N186*100/M186,0)</f>
        <v>0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49500</v>
      </c>
      <c r="M188" s="427">
        <f t="shared" ca="1" si="32"/>
        <v>22500</v>
      </c>
      <c r="N188" s="427">
        <f t="shared" ca="1" si="32"/>
        <v>0</v>
      </c>
      <c r="O188" s="427">
        <f t="shared" ca="1" si="30"/>
        <v>0</v>
      </c>
      <c r="P188" s="427">
        <f t="shared" ca="1" si="31"/>
        <v>0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49500</v>
      </c>
      <c r="M189" s="427">
        <f ca="1">M190+M191</f>
        <v>22500</v>
      </c>
      <c r="N189" s="427">
        <f ca="1">N190+N191</f>
        <v>0</v>
      </c>
      <c r="O189" s="427">
        <f t="shared" ca="1" si="30"/>
        <v>0</v>
      </c>
      <c r="P189" s="427">
        <f t="shared" ca="1" si="31"/>
        <v>0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IFERROR(__xludf.DUMMYFUNCTION("IMPORTRANGE(""https://docs.google.com/spreadsheets/d/1-uDff_7J0KD5mKrp0Vvzr7lt3OU09vwQwhkpOPPYv2Y/edit?usp=sharing"",""งบพรบ!CU68"")"),49500)</f>
        <v>49500</v>
      </c>
      <c r="M191" s="427">
        <f ca="1">IFERROR(__xludf.DUMMYFUNCTION("IMPORTRANGE(""https://docs.google.com/spreadsheets/d/1-uDff_7J0KD5mKrp0Vvzr7lt3OU09vwQwhkpOPPYv2Y/edit?usp=sharing"",""งบพรบ!CZ68"")"),22500)</f>
        <v>22500</v>
      </c>
      <c r="N191" s="427">
        <f ca="1">IFERROR(__xludf.DUMMYFUNCTION("IMPORTRANGE(""https://docs.google.com/spreadsheets/d/1-uDff_7J0KD5mKrp0Vvzr7lt3OU09vwQwhkpOPPYv2Y/edit?usp=sharing"",""งบพรบ!DB68"")"),0)</f>
        <v>0</v>
      </c>
      <c r="O191" s="427">
        <f t="shared" ca="1" si="30"/>
        <v>0</v>
      </c>
      <c r="P191" s="427">
        <f t="shared" ca="1" si="31"/>
        <v>0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IFERROR(__xludf.DUMMYFUNCTION("IMPORTRANGE(""https://docs.google.com/spreadsheets/d/1-uDff_7J0KD5mKrp0Vvzr7lt3OU09vwQwhkpOPPYv2Y/edit?usp=sharing"",""งบพรบ!CX68"")"),0)</f>
        <v>0</v>
      </c>
      <c r="M194" s="427">
        <f ca="1">IFERROR(__xludf.DUMMYFUNCTION("IMPORTRANGE(""https://docs.google.com/spreadsheets/d/1-uDff_7J0KD5mKrp0Vvzr7lt3OU09vwQwhkpOPPYv2Y/edit?usp=sharing"",""งบพรบ!DA68"")"),0)</f>
        <v>0</v>
      </c>
      <c r="N194" s="427">
        <f ca="1">IFERROR(__xludf.DUMMYFUNCTION("IMPORTRANGE(""https://docs.google.com/spreadsheets/d/1-uDff_7J0KD5mKrp0Vvzr7lt3OU09vwQwhkpOPPYv2Y/edit?usp=sharing"",""งบพรบ!DC68"")"),0)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IFERROR(__xludf.DUMMYFUNCTION("IMPORTRANGE(""https://docs.google.com/spreadsheets/d/1eHaY18a8A9IcSdp1K8H6x8fbOy06t2VsZHhMHf-1x7Y/edit?usp=sharing"",""แผน!AB68"")"),6000)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IFERROR(__xludf.DUMMYFUNCTION("IMPORTRANGE(""https://docs.google.com/spreadsheets/d/1eHaY18a8A9IcSdp1K8H6x8fbOy06t2VsZHhMHf-1x7Y/edit?usp=sharing"",""แผน!AE68"")"),4)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31000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IFERROR(__xludf.DUMMYFUNCTION("IMPORTRANGE(""https://docs.google.com/spreadsheets/d/1eHaY18a8A9IcSdp1K8H6x8fbOy06t2VsZHhMHf-1x7Y/edit?usp=sharing"",""แผน!AG68"")"),2000)</f>
        <v>2000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IFERROR(__xludf.DUMMYFUNCTION("IMPORTRANGE(""https://docs.google.com/spreadsheets/d/1eHaY18a8A9IcSdp1K8H6x8fbOy06t2VsZHhMHf-1x7Y/edit?usp=sharing"",""แผน!AH68"")"),0)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IFERROR(__xludf.DUMMYFUNCTION("IMPORTRANGE(""https://docs.google.com/spreadsheets/d/1eHaY18a8A9IcSdp1K8H6x8fbOy06t2VsZHhMHf-1x7Y/edit?usp=sharing"",""แผน!AI68"")"),16000)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IFERROR(__xludf.DUMMYFUNCTION("IMPORTRANGE(""https://docs.google.com/spreadsheets/d/1eHaY18a8A9IcSdp1K8H6x8fbOy06t2VsZHhMHf-1x7Y/edit?usp=sharing"",""แผน!AJ68"")"),13000)</f>
        <v>13000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IFERROR(__xludf.DUMMYFUNCTION("IMPORTRANGE(""https://docs.google.com/spreadsheets/d/1eHaY18a8A9IcSdp1K8H6x8fbOy06t2VsZHhMHf-1x7Y/edit?usp=sharing"",""แผน!AK68"")"),2)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IFERROR(__xludf.DUMMYFUNCTION("IMPORTRANGE(""https://docs.google.com/spreadsheets/d/1eHaY18a8A9IcSdp1K8H6x8fbOy06t2VsZHhMHf-1x7Y/edit?usp=sharing"",""แผน!JX68"")"),2)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IFERROR(__xludf.DUMMYFUNCTION("IMPORTRANGE(""https://docs.google.com/spreadsheets/d/1eHaY18a8A9IcSdp1K8H6x8fbOy06t2VsZHhMHf-1x7Y/edit?usp=sharing"",""แผน!JY68"")"),1)</f>
        <v>1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IFERROR(__xludf.DUMMYFUNCTION("IMPORTRANGE(""https://docs.google.com/spreadsheets/d/1eHaY18a8A9IcSdp1K8H6x8fbOy06t2VsZHhMHf-1x7Y/edit?usp=sharing"",""แผน!AM68"")"),0)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IFERROR(__xludf.DUMMYFUNCTION("IMPORTRANGE(""https://docs.google.com/spreadsheets/d/1eHaY18a8A9IcSdp1K8H6x8fbOy06t2VsZHhMHf-1x7Y/edit?usp=sharing"",""แผน!AN68"")"),0)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IFERROR(__xludf.DUMMYFUNCTION("IMPORTRANGE(""https://docs.google.com/spreadsheets/d/1eHaY18a8A9IcSdp1K8H6x8fbOy06t2VsZHhMHf-1x7Y/edit?usp=sharing"",""แผน!AO68"")"),0)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IFERROR(__xludf.DUMMYFUNCTION("IMPORTRANGE(""https://docs.google.com/spreadsheets/d/1eHaY18a8A9IcSdp1K8H6x8fbOy06t2VsZHhMHf-1x7Y/edit?usp=sharing"",""แผน!AP68"")"),0)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IFERROR(__xludf.DUMMYFUNCTION("IMPORTRANGE(""https://docs.google.com/spreadsheets/d/1eHaY18a8A9IcSdp1K8H6x8fbOy06t2VsZHhMHf-1x7Y/edit?usp=sharing"",""แผน!AP68"")"),0)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100000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12500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IFERROR(__xludf.DUMMYFUNCTION("IMPORTRANGE(""https://docs.google.com/spreadsheets/d/1eHaY18a8A9IcSdp1K8H6x8fbOy06t2VsZHhMHf-1x7Y/edit?usp=sharing"",""แผน!AR68"")"),11000)</f>
        <v>11000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IFERROR(__xludf.DUMMYFUNCTION("IMPORTRANGE(""https://docs.google.com/spreadsheets/d/1eHaY18a8A9IcSdp1K8H6x8fbOy06t2VsZHhMHf-1x7Y/edit?usp=sharing"",""แผน!AS68"")"),1500)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IFERROR(__xludf.DUMMYFUNCTION("IMPORTRANGE(""https://docs.google.com/spreadsheets/d/1eHaY18a8A9IcSdp1K8H6x8fbOy06t2VsZHhMHf-1x7Y/edit?usp=sharing"",""แผน!AT68"")"),0)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IFERROR(__xludf.DUMMYFUNCTION("IMPORTRANGE(""https://docs.google.com/spreadsheets/d/1eHaY18a8A9IcSdp1K8H6x8fbOy06t2VsZHhMHf-1x7Y/edit?usp=sharing"",""แผน!AV68"")"),100000)</f>
        <v>100000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IFERROR(__xludf.DUMMYFUNCTION("IMPORTRANGE(""https://docs.google.com/spreadsheets/d/1eHaY18a8A9IcSdp1K8H6x8fbOy06t2VsZHhMHf-1x7Y/edit?usp=sharing"",""แผน!AV68"")"),100000)</f>
        <v>100000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IFERROR(__xludf.DUMMYFUNCTION("IMPORTRANGE(""https://docs.google.com/spreadsheets/d/1eHaY18a8A9IcSdp1K8H6x8fbOy06t2VsZHhMHf-1x7Y/edit?usp=sharing"",""แผน!AU68"")"),0)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IFERROR(__xludf.DUMMYFUNCTION("IMPORTRANGE(""https://docs.google.com/spreadsheets/d/1eHaY18a8A9IcSdp1K8H6x8fbOy06t2VsZHhMHf-1x7Y/edit?usp=sharing"",""แผน!AX68"")"),0)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IFERROR(__xludf.DUMMYFUNCTION("IMPORTRANGE(""https://docs.google.com/spreadsheets/d/1eHaY18a8A9IcSdp1K8H6x8fbOy06t2VsZHhMHf-1x7Y/edit?usp=sharing"",""แผน!AY68"")"),0)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IFERROR(__xludf.DUMMYFUNCTION("IMPORTRANGE(""https://docs.google.com/spreadsheets/d/1eHaY18a8A9IcSdp1K8H6x8fbOy06t2VsZHhMHf-1x7Y/edit?usp=sharing"",""แผน!AZ68"")"),0)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IFERROR(__xludf.DUMMYFUNCTION("IMPORTRANGE(""https://docs.google.com/spreadsheets/d/1eHaY18a8A9IcSdp1K8H6x8fbOy06t2VsZHhMHf-1x7Y/edit?usp=sharing"",""แผน!BA68"")"),0)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IFERROR(__xludf.DUMMYFUNCTION("IMPORTRANGE(""https://docs.google.com/spreadsheets/d/1eHaY18a8A9IcSdp1K8H6x8fbOy06t2VsZHhMHf-1x7Y/edit?usp=sharing"",""แผน!BG68"")"),0)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IFERROR(__xludf.DUMMYFUNCTION("IMPORTRANGE(""https://docs.google.com/spreadsheets/d/1eHaY18a8A9IcSdp1K8H6x8fbOy06t2VsZHhMHf-1x7Y/edit?usp=sharing"",""แผน!BB68"")"),0)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IFERROR(__xludf.DUMMYFUNCTION("IMPORTRANGE(""https://docs.google.com/spreadsheets/d/1eHaY18a8A9IcSdp1K8H6x8fbOy06t2VsZHhMHf-1x7Y/edit?usp=sharing"",""แผน!BC68"")"),0)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IFERROR(__xludf.DUMMYFUNCTION("IMPORTRANGE(""https://docs.google.com/spreadsheets/d/1eHaY18a8A9IcSdp1K8H6x8fbOy06t2VsZHhMHf-1x7Y/edit?usp=sharing"",""แผน!BD68"")"),0)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IFERROR(__xludf.DUMMYFUNCTION("IMPORTRANGE(""https://docs.google.com/spreadsheets/d/1eHaY18a8A9IcSdp1K8H6x8fbOy06t2VsZHhMHf-1x7Y/edit?usp=sharing"",""แผน!BE68"")"),0)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IFERROR(__xludf.DUMMYFUNCTION("IMPORTRANGE(""https://docs.google.com/spreadsheets/d/1eHaY18a8A9IcSdp1K8H6x8fbOy06t2VsZHhMHf-1x7Y/edit?usp=sharing"",""แผน!BH68"")"),0)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IFERROR(__xludf.DUMMYFUNCTION("IMPORTRANGE(""https://docs.google.com/spreadsheets/d/1-uDff_7J0KD5mKrp0Vvzr7lt3OU09vwQwhkpOPPYv2Y/edit?usp=sharing"",""งบพรบ!DE68"")"),0)</f>
        <v>0</v>
      </c>
      <c r="M271" s="502">
        <f ca="1">IFERROR(__xludf.DUMMYFUNCTION("IMPORTRANGE(""https://docs.google.com/spreadsheets/d/1-uDff_7J0KD5mKrp0Vvzr7lt3OU09vwQwhkpOPPYv2Y/edit?usp=sharing"",""งบพรบ!DJ68"")"),0)</f>
        <v>0</v>
      </c>
      <c r="N271" s="502">
        <f ca="1">IFERROR(__xludf.DUMMYFUNCTION("IMPORTRANGE(""https://docs.google.com/spreadsheets/d/1-uDff_7J0KD5mKrp0Vvzr7lt3OU09vwQwhkpOPPYv2Y/edit?usp=sharing"",""งบพรบ!DL68"")"),0)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IFERROR(__xludf.DUMMYFUNCTION("IMPORTRANGE(""https://docs.google.com/spreadsheets/d/1-uDff_7J0KD5mKrp0Vvzr7lt3OU09vwQwhkpOPPYv2Y/edit?usp=sharing"",""งบพรบ!DH68"")"),0)</f>
        <v>0</v>
      </c>
      <c r="M274" s="502">
        <f ca="1">IFERROR(__xludf.DUMMYFUNCTION("IMPORTRANGE(""https://docs.google.com/spreadsheets/d/1-uDff_7J0KD5mKrp0Vvzr7lt3OU09vwQwhkpOPPYv2Y/edit?usp=sharing"",""งบพรบ!DK68"")"),0)</f>
        <v>0</v>
      </c>
      <c r="N274" s="502">
        <f ca="1">IFERROR(__xludf.DUMMYFUNCTION("IMPORTRANGE(""https://docs.google.com/spreadsheets/d/1-uDff_7J0KD5mKrp0Vvzr7lt3OU09vwQwhkpOPPYv2Y/edit?usp=sharing"",""งบพรบ!DM68"")"),0)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IFERROR(__xludf.DUMMYFUNCTION("IMPORTRANGE(""https://docs.google.com/spreadsheets/d/1-uDff_7J0KD5mKrp0Vvzr7lt3OU09vwQwhkpOPPYv2Y/edit?usp=sharing"",""งบพรบ!DO68"")"),0)</f>
        <v>0</v>
      </c>
      <c r="M287" s="427">
        <f ca="1">IFERROR(__xludf.DUMMYFUNCTION("IMPORTRANGE(""https://docs.google.com/spreadsheets/d/1-uDff_7J0KD5mKrp0Vvzr7lt3OU09vwQwhkpOPPYv2Y/edit?usp=sharing"",""งบพรบ!DT68"")"),0)</f>
        <v>0</v>
      </c>
      <c r="N287" s="427">
        <f ca="1">IFERROR(__xludf.DUMMYFUNCTION("IMPORTRANGE(""https://docs.google.com/spreadsheets/d/1-uDff_7J0KD5mKrp0Vvzr7lt3OU09vwQwhkpOPPYv2Y/edit?usp=sharing"",""งบพรบ!DV68"")"),0)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IFERROR(__xludf.DUMMYFUNCTION("IMPORTRANGE(""https://docs.google.com/spreadsheets/d/1-uDff_7J0KD5mKrp0Vvzr7lt3OU09vwQwhkpOPPYv2Y/edit?usp=sharing"",""งบพรบ!DR68"")"),0)</f>
        <v>0</v>
      </c>
      <c r="M290" s="427">
        <f ca="1">IFERROR(__xludf.DUMMYFUNCTION("IMPORTRANGE(""https://docs.google.com/spreadsheets/d/1-uDff_7J0KD5mKrp0Vvzr7lt3OU09vwQwhkpOPPYv2Y/edit?usp=sharing"",""งบพรบ!DU68"")"),0)</f>
        <v>0</v>
      </c>
      <c r="N290" s="427">
        <f ca="1">IFERROR(__xludf.DUMMYFUNCTION("IMPORTRANGE(""https://docs.google.com/spreadsheets/d/1-uDff_7J0KD5mKrp0Vvzr7lt3OU09vwQwhkpOPPYv2Y/edit?usp=sharing"",""งบพรบ!DW68"")"),0)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IFERROR(__xludf.DUMMYFUNCTION("IMPORTRANGE(""https://docs.google.com/spreadsheets/d/1eHaY18a8A9IcSdp1K8H6x8fbOy06t2VsZHhMHf-1x7Y/edit?usp=sharing"",""แผน!EE68"")"),0)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IFERROR(__xludf.DUMMYFUNCTION("IMPORTRANGE(""https://docs.google.com/spreadsheets/d/1eHaY18a8A9IcSdp1K8H6x8fbOy06t2VsZHhMHf-1x7Y/edit?usp=sharing"",""แผน!ED68"")"),0)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IFERROR(__xludf.DUMMYFUNCTION("IMPORTRANGE(""https://docs.google.com/spreadsheets/d/1eHaY18a8A9IcSdp1K8H6x8fbOy06t2VsZHhMHf-1x7Y/edit?usp=sharing"",""แผน!ED68"")"),0)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IFERROR(__xludf.DUMMYFUNCTION("IMPORTRANGE(""https://docs.google.com/spreadsheets/d/1eHaY18a8A9IcSdp1K8H6x8fbOy06t2VsZHhMHf-1x7Y/edit?usp=sharing"",""แผน!ED68"")"),0)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25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203200</v>
      </c>
      <c r="M303" s="715">
        <f ca="1">M304+M305</f>
        <v>151500</v>
      </c>
      <c r="N303" s="715">
        <f ca="1">N304+N305</f>
        <v>29440</v>
      </c>
      <c r="O303" s="715">
        <f t="shared" ref="O303:O311" ca="1" si="39">IF(L303&gt;0,N303*100/L303,0)</f>
        <v>14.488188976377952</v>
      </c>
      <c r="P303" s="715">
        <f t="shared" ref="P303:P311" ca="1" si="40">IF(M303&gt;0,N303*100/M303,0)</f>
        <v>19.432343234323433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203200</v>
      </c>
      <c r="M305" s="427">
        <f t="shared" ca="1" si="41"/>
        <v>151500</v>
      </c>
      <c r="N305" s="427">
        <f t="shared" ca="1" si="41"/>
        <v>29440</v>
      </c>
      <c r="O305" s="427">
        <f t="shared" ca="1" si="39"/>
        <v>14.488188976377952</v>
      </c>
      <c r="P305" s="427">
        <f t="shared" ca="1" si="40"/>
        <v>19.432343234323433</v>
      </c>
    </row>
    <row r="306" spans="1:16" ht="18.75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203200</v>
      </c>
      <c r="M306" s="427">
        <f ca="1">M307+M308</f>
        <v>151500</v>
      </c>
      <c r="N306" s="427">
        <f ca="1">N307+N308</f>
        <v>29440</v>
      </c>
      <c r="O306" s="427">
        <f t="shared" ca="1" si="39"/>
        <v>14.488188976377952</v>
      </c>
      <c r="P306" s="427">
        <f t="shared" ca="1" si="40"/>
        <v>19.432343234323433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IFERROR(__xludf.DUMMYFUNCTION("IMPORTRANGE(""https://docs.google.com/spreadsheets/d/1-uDff_7J0KD5mKrp0Vvzr7lt3OU09vwQwhkpOPPYv2Y/edit?usp=sharing"",""งบพรบ!DY68"")"),203200)</f>
        <v>203200</v>
      </c>
      <c r="M308" s="427">
        <f ca="1">IFERROR(__xludf.DUMMYFUNCTION("IMPORTRANGE(""https://docs.google.com/spreadsheets/d/1-uDff_7J0KD5mKrp0Vvzr7lt3OU09vwQwhkpOPPYv2Y/edit?usp=sharing"",""งบพรบ!ED68"")"),151500)</f>
        <v>151500</v>
      </c>
      <c r="N308" s="427">
        <f ca="1">IFERROR(__xludf.DUMMYFUNCTION("IMPORTRANGE(""https://docs.google.com/spreadsheets/d/1-uDff_7J0KD5mKrp0Vvzr7lt3OU09vwQwhkpOPPYv2Y/edit?usp=sharing"",""งบพรบ!EF68"")"),29440)</f>
        <v>29440</v>
      </c>
      <c r="O308" s="427">
        <f t="shared" ca="1" si="39"/>
        <v>14.488188976377952</v>
      </c>
      <c r="P308" s="427">
        <f t="shared" ca="1" si="40"/>
        <v>19.432343234323433</v>
      </c>
    </row>
    <row r="309" spans="1:16" ht="18.75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IFERROR(__xludf.DUMMYFUNCTION("IMPORTRANGE(""https://docs.google.com/spreadsheets/d/1-uDff_7J0KD5mKrp0Vvzr7lt3OU09vwQwhkpOPPYv2Y/edit?usp=sharing"",""งบพรบ!EB68"")"),0)</f>
        <v>0</v>
      </c>
      <c r="M311" s="427">
        <f ca="1">IFERROR(__xludf.DUMMYFUNCTION("IMPORTRANGE(""https://docs.google.com/spreadsheets/d/1-uDff_7J0KD5mKrp0Vvzr7lt3OU09vwQwhkpOPPYv2Y/edit?usp=sharing"",""งบพรบ!EE68"")"),0)</f>
        <v>0</v>
      </c>
      <c r="N311" s="427">
        <f ca="1">IFERROR(__xludf.DUMMYFUNCTION("IMPORTRANGE(""https://docs.google.com/spreadsheets/d/1-uDff_7J0KD5mKrp0Vvzr7lt3OU09vwQwhkpOPPYv2Y/edit?usp=sharing"",""งบพรบ!EG68"")"),0)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IFERROR(__xludf.DUMMYFUNCTION("IMPORTRANGE(""https://docs.google.com/spreadsheets/d/1eHaY18a8A9IcSdp1K8H6x8fbOy06t2VsZHhMHf-1x7Y/edit?usp=sharing"",""แผน!EF68"")"),25)</f>
        <v>25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IFERROR(__xludf.DUMMYFUNCTION("IMPORTRANGE(""https://docs.google.com/spreadsheets/d/1eHaY18a8A9IcSdp1K8H6x8fbOy06t2VsZHhMHf-1x7Y/edit?usp=sharing"",""แผน!EG68"")"),5)</f>
        <v>5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IFERROR(__xludf.DUMMYFUNCTION("IMPORTRANGE(""https://docs.google.com/spreadsheets/d/1eHaY18a8A9IcSdp1K8H6x8fbOy06t2VsZHhMHf-1x7Y/edit?usp=sharing"",""แผน!EH68"")"),25)</f>
        <v>25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IFERROR(__xludf.DUMMYFUNCTION("IMPORTRANGE(""https://docs.google.com/spreadsheets/d/1eHaY18a8A9IcSdp1K8H6x8fbOy06t2VsZHhMHf-1x7Y/edit?usp=sharing"",""แผน!EI68"")"),5)</f>
        <v>5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IFERROR(__xludf.DUMMYFUNCTION("IMPORTRANGE(""https://docs.google.com/spreadsheets/d/1-uDff_7J0KD5mKrp0Vvzr7lt3OU09vwQwhkpOPPYv2Y/edit?usp=sharing"",""งบพรบ!EI68"")"),0)</f>
        <v>0</v>
      </c>
      <c r="M325" s="427">
        <f ca="1">IFERROR(__xludf.DUMMYFUNCTION("IMPORTRANGE(""https://docs.google.com/spreadsheets/d/1-uDff_7J0KD5mKrp0Vvzr7lt3OU09vwQwhkpOPPYv2Y/edit?usp=sharing"",""งบพรบ!EN68"")"),0)</f>
        <v>0</v>
      </c>
      <c r="N325" s="427">
        <f ca="1">IFERROR(__xludf.DUMMYFUNCTION("IMPORTRANGE(""https://docs.google.com/spreadsheets/d/1-uDff_7J0KD5mKrp0Vvzr7lt3OU09vwQwhkpOPPYv2Y/edit?usp=sharing"",""งบพรบ!EP68"")"),0)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IFERROR(__xludf.DUMMYFUNCTION("IMPORTRANGE(""https://docs.google.com/spreadsheets/d/1-uDff_7J0KD5mKrp0Vvzr7lt3OU09vwQwhkpOPPYv2Y/edit?usp=sharing"",""งบพรบ!EL68"")"),0)</f>
        <v>0</v>
      </c>
      <c r="M328" s="427">
        <f ca="1">IFERROR(__xludf.DUMMYFUNCTION("IMPORTRANGE(""https://docs.google.com/spreadsheets/d/1-uDff_7J0KD5mKrp0Vvzr7lt3OU09vwQwhkpOPPYv2Y/edit?usp=sharing"",""งบพรบ!EO68"")"),0)</f>
        <v>0</v>
      </c>
      <c r="N328" s="427">
        <f ca="1">IFERROR(__xludf.DUMMYFUNCTION("IMPORTRANGE(""https://docs.google.com/spreadsheets/d/1-uDff_7J0KD5mKrp0Vvzr7lt3OU09vwQwhkpOPPYv2Y/edit?usp=sharing"",""งบพรบ!EQ68"")"),0)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IFERROR(__xludf.DUMMYFUNCTION("IMPORTRANGE(""https://docs.google.com/spreadsheets/d/1eHaY18a8A9IcSdp1K8H6x8fbOy06t2VsZHhMHf-1x7Y/edit?usp=sharing"",""แผน!EJ68"")"),0)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1400</v>
      </c>
      <c r="J332" s="404">
        <f ca="1">J344+J347+J348+J349+J353</f>
        <v>3578</v>
      </c>
      <c r="K332" s="405">
        <f ca="1">IF(I332&gt;0,J332*100/I332,0)</f>
        <v>255.57142857142858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108000</v>
      </c>
      <c r="M333" s="715">
        <f ca="1">M334+M335</f>
        <v>85750</v>
      </c>
      <c r="N333" s="715">
        <f ca="1">N334+N335</f>
        <v>49440</v>
      </c>
      <c r="O333" s="715">
        <f t="shared" ref="O333:O341" ca="1" si="45">IF(L333&gt;0,N333*100/L333,0)</f>
        <v>45.777777777777779</v>
      </c>
      <c r="P333" s="715">
        <f t="shared" ref="P333:P341" ca="1" si="46">IF(M333&gt;0,N333*100/M333,0)</f>
        <v>57.655976676384839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108000</v>
      </c>
      <c r="M335" s="427">
        <f t="shared" ca="1" si="47"/>
        <v>85750</v>
      </c>
      <c r="N335" s="427">
        <f t="shared" ca="1" si="47"/>
        <v>49440</v>
      </c>
      <c r="O335" s="427">
        <f t="shared" ca="1" si="45"/>
        <v>45.777777777777779</v>
      </c>
      <c r="P335" s="427">
        <f t="shared" ca="1" si="46"/>
        <v>57.655976676384839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108000</v>
      </c>
      <c r="M336" s="427">
        <f ca="1">M337+M338</f>
        <v>85750</v>
      </c>
      <c r="N336" s="427">
        <f ca="1">N337+N338</f>
        <v>49440</v>
      </c>
      <c r="O336" s="427">
        <f t="shared" ca="1" si="45"/>
        <v>45.777777777777779</v>
      </c>
      <c r="P336" s="427">
        <f t="shared" ca="1" si="46"/>
        <v>57.655976676384839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IFERROR(__xludf.DUMMYFUNCTION("IMPORTRANGE(""https://docs.google.com/spreadsheets/d/1-uDff_7J0KD5mKrp0Vvzr7lt3OU09vwQwhkpOPPYv2Y/edit?usp=sharing"",""งบพรบ!ES68"")"),108000)</f>
        <v>108000</v>
      </c>
      <c r="M338" s="427">
        <f ca="1">IFERROR(__xludf.DUMMYFUNCTION("IMPORTRANGE(""https://docs.google.com/spreadsheets/d/1-uDff_7J0KD5mKrp0Vvzr7lt3OU09vwQwhkpOPPYv2Y/edit?usp=sharing"",""งบพรบ!EX68"")"),85750)</f>
        <v>85750</v>
      </c>
      <c r="N338" s="427">
        <f ca="1">IFERROR(__xludf.DUMMYFUNCTION("IMPORTRANGE(""https://docs.google.com/spreadsheets/d/1-uDff_7J0KD5mKrp0Vvzr7lt3OU09vwQwhkpOPPYv2Y/edit?usp=sharing"",""งบพรบ!EZ68"")"),49440)</f>
        <v>49440</v>
      </c>
      <c r="O338" s="427">
        <f t="shared" ca="1" si="45"/>
        <v>45.777777777777779</v>
      </c>
      <c r="P338" s="427">
        <f t="shared" ca="1" si="46"/>
        <v>57.655976676384839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IFERROR(__xludf.DUMMYFUNCTION("IMPORTRANGE(""https://docs.google.com/spreadsheets/d/1-uDff_7J0KD5mKrp0Vvzr7lt3OU09vwQwhkpOPPYv2Y/edit?usp=sharing"",""งบพรบ!EV68"")"),0)</f>
        <v>0</v>
      </c>
      <c r="M341" s="427">
        <f ca="1">IFERROR(__xludf.DUMMYFUNCTION("IMPORTRANGE(""https://docs.google.com/spreadsheets/d/1-uDff_7J0KD5mKrp0Vvzr7lt3OU09vwQwhkpOPPYv2Y/edit?usp=sharing"",""งบพรบ!EY68"")"),0)</f>
        <v>0</v>
      </c>
      <c r="N341" s="427">
        <f ca="1">IFERROR(__xludf.DUMMYFUNCTION("IMPORTRANGE(""https://docs.google.com/spreadsheets/d/1-uDff_7J0KD5mKrp0Vvzr7lt3OU09vwQwhkpOPPYv2Y/edit?usp=sharing"",""งบพรบ!FA68"")"),0)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841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IFERROR(__xludf.DUMMYFUNCTION("IMPORTRANGE(""https://docs.google.com/spreadsheets/d/1eHaY18a8A9IcSdp1K8H6x8fbOy06t2VsZHhMHf-1x7Y/edit?usp=sharing"",""แผน!EK68"")"),1400)</f>
        <v>1400</v>
      </c>
      <c r="J344" s="426">
        <f ca="1">IFERROR(__xludf.DUMMYFUNCTION("IMPORTRANGE(""https://docs.google.com/spreadsheets/d/1awYsYK3VOup2i3Pq_Yjnu8DRu_mYwSBnCR2QPthd0rU/edit?usp=sharing"",""ศูนย์ยกเว้นโฉนด!D68"")"),838)</f>
        <v>838</v>
      </c>
      <c r="K344" s="427">
        <f ca="1">IF(I344&gt;0,J344*100/I344,0)</f>
        <v>59.857142857142854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IFERROR(__xludf.DUMMYFUNCTION("IMPORTRANGE(""https://docs.google.com/spreadsheets/d/1eHaY18a8A9IcSdp1K8H6x8fbOy06t2VsZHhMHf-1x7Y/edit?usp=sharing"",""แผน!EL68"")"),4)</f>
        <v>4</v>
      </c>
      <c r="J346" s="426">
        <f ca="1">IFERROR(__xludf.DUMMYFUNCTION("IMPORTRANGE(""https://docs.google.com/spreadsheets/d/1awYsYK3VOup2i3Pq_Yjnu8DRu_mYwSBnCR2QPthd0rU/edit?usp=sharing"",""ศูนย์รวม!E68"")"),5)</f>
        <v>5</v>
      </c>
      <c r="K346" s="427">
        <f ca="1">IF(I346&gt;0,J346*100/I346,0)</f>
        <v>125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3695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IFERROR(__xludf.DUMMYFUNCTION("IMPORTRANGE(""https://docs.google.com/spreadsheets/d/1awYsYK3VOup2i3Pq_Yjnu8DRu_mYwSBnCR2QPthd0rU/edit?usp=sharing"",""โฉนดM3!G68"")"),958)</f>
        <v>958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IFERROR(__xludf.DUMMYFUNCTION("IMPORTRANGE(""https://docs.google.com/spreadsheets/d/1awYsYK3VOup2i3Pq_Yjnu8DRu_mYwSBnCR2QPthd0rU/edit?usp=sharing"",""โฉนดM3!H68"")"),2737)</f>
        <v>2737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563400</v>
      </c>
      <c r="M356" s="715">
        <f ca="1">M357+M358</f>
        <v>449720</v>
      </c>
      <c r="N356" s="715">
        <f ca="1">N357+N358</f>
        <v>244961</v>
      </c>
      <c r="O356" s="715">
        <f t="shared" ref="O356:O364" ca="1" si="48">IF(L356&gt;0,N356*100/L356,0)</f>
        <v>43.479055733049343</v>
      </c>
      <c r="P356" s="715">
        <f t="shared" ref="P356:P364" ca="1" si="49">IF(M356&gt;0,N356*100/M356,0)</f>
        <v>54.469670016899407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563400</v>
      </c>
      <c r="M358" s="427">
        <f t="shared" ca="1" si="50"/>
        <v>449720</v>
      </c>
      <c r="N358" s="427">
        <f t="shared" ca="1" si="50"/>
        <v>244961</v>
      </c>
      <c r="O358" s="427">
        <f t="shared" ca="1" si="48"/>
        <v>43.479055733049343</v>
      </c>
      <c r="P358" s="427">
        <f t="shared" ca="1" si="49"/>
        <v>54.469670016899407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563400</v>
      </c>
      <c r="M359" s="427">
        <f ca="1">M360+M361</f>
        <v>449720</v>
      </c>
      <c r="N359" s="427">
        <f ca="1">N360+N361</f>
        <v>244961</v>
      </c>
      <c r="O359" s="427">
        <f t="shared" ca="1" si="48"/>
        <v>43.479055733049343</v>
      </c>
      <c r="P359" s="427">
        <f t="shared" ca="1" si="49"/>
        <v>54.469670016899407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IFERROR(__xludf.DUMMYFUNCTION("IMPORTRANGE(""https://docs.google.com/spreadsheets/d/1-uDff_7J0KD5mKrp0Vvzr7lt3OU09vwQwhkpOPPYv2Y/edit?usp=sharing"",""งบพรบ!FC68"")"),563400)</f>
        <v>563400</v>
      </c>
      <c r="M361" s="427">
        <f ca="1">IFERROR(__xludf.DUMMYFUNCTION("IMPORTRANGE(""https://docs.google.com/spreadsheets/d/1-uDff_7J0KD5mKrp0Vvzr7lt3OU09vwQwhkpOPPYv2Y/edit?usp=sharing"",""งบพรบ!FH68"")"),449720)</f>
        <v>449720</v>
      </c>
      <c r="N361" s="427">
        <f ca="1">IFERROR(__xludf.DUMMYFUNCTION("IMPORTRANGE(""https://docs.google.com/spreadsheets/d/1-uDff_7J0KD5mKrp0Vvzr7lt3OU09vwQwhkpOPPYv2Y/edit?usp=sharing"",""งบพรบ!FJ68"")"),244961)</f>
        <v>244961</v>
      </c>
      <c r="O361" s="427">
        <f t="shared" ca="1" si="48"/>
        <v>43.479055733049343</v>
      </c>
      <c r="P361" s="427">
        <f t="shared" ca="1" si="49"/>
        <v>54.469670016899407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IFERROR(__xludf.DUMMYFUNCTION("IMPORTRANGE(""https://docs.google.com/spreadsheets/d/1-uDff_7J0KD5mKrp0Vvzr7lt3OU09vwQwhkpOPPYv2Y/edit?usp=sharing"",""งบพรบ!FF68"")"),0)</f>
        <v>0</v>
      </c>
      <c r="M364" s="427">
        <f ca="1">IFERROR(__xludf.DUMMYFUNCTION("IMPORTRANGE(""https://docs.google.com/spreadsheets/d/1-uDff_7J0KD5mKrp0Vvzr7lt3OU09vwQwhkpOPPYv2Y/edit?usp=sharing"",""งบพรบ!FI68"")"),0)</f>
        <v>0</v>
      </c>
      <c r="N364" s="427">
        <f ca="1">IFERROR(__xludf.DUMMYFUNCTION("IMPORTRANGE(""https://docs.google.com/spreadsheets/d/1-uDff_7J0KD5mKrp0Vvzr7lt3OU09vwQwhkpOPPYv2Y/edit?usp=sharing"",""งบพรบ!FK68"")"),0)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125</v>
      </c>
      <c r="J365" s="440">
        <f ca="1">J371</f>
        <v>44</v>
      </c>
      <c r="K365" s="441">
        <f ca="1">IF(I365&gt;0,J365*100/I365,0)</f>
        <v>35.200000000000003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IFERROR(__xludf.DUMMYFUNCTION("IMPORTRANGE(""https://docs.google.com/spreadsheets/d/1tdoBKaGub7dwA3U6UFTqxio9LNnvDCQjHKmttSEBsFQ/edit?usp=sharing"",""จัดที่ดิน!AB68"")"),21)</f>
        <v>21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IFERROR(__xludf.DUMMYFUNCTION("IMPORTRANGE(""https://docs.google.com/spreadsheets/d/1eHaY18a8A9IcSdp1K8H6x8fbOy06t2VsZHhMHf-1x7Y/edit?usp=sharing"",""แผน!EW68"")"),1065)</f>
        <v>1065</v>
      </c>
      <c r="J368" s="704">
        <f ca="1">IFERROR(__xludf.DUMMYFUNCTION("IMPORTRANGE(""https://docs.google.com/spreadsheets/d/1tdoBKaGub7dwA3U6UFTqxio9LNnvDCQjHKmttSEBsFQ/edit?usp=sharing"",""จัดที่ดิน!AC68"")"),261.46)</f>
        <v>261.45999999999998</v>
      </c>
      <c r="K368" s="427">
        <f t="shared" ca="1" si="51"/>
        <v>24.550234741784035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IFERROR(__xludf.DUMMYFUNCTION("IMPORTRANGE(""https://docs.google.com/spreadsheets/d/1eHaY18a8A9IcSdp1K8H6x8fbOy06t2VsZHhMHf-1x7Y/edit?usp=sharing"",""แผน!EX68"")"),195)</f>
        <v>195</v>
      </c>
      <c r="J369" s="426">
        <f ca="1">IFERROR(__xludf.DUMMYFUNCTION("IMPORTRANGE(""https://docs.google.com/spreadsheets/d/1tdoBKaGub7dwA3U6UFTqxio9LNnvDCQjHKmttSEBsFQ/edit?usp=sharing"",""จัดที่ดิน!AD68"")"),59)</f>
        <v>59</v>
      </c>
      <c r="K369" s="427">
        <f t="shared" ca="1" si="51"/>
        <v>30.256410256410255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IFERROR(__xludf.DUMMYFUNCTION("IMPORTRANGE(""https://docs.google.com/spreadsheets/d/1tdoBKaGub7dwA3U6UFTqxio9LNnvDCQjHKmttSEBsFQ/edit?usp=sharing"",""จัดที่ดิน!AE68"")"),1097.93)</f>
        <v>1097.93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IFERROR(__xludf.DUMMYFUNCTION("IMPORTRANGE(""https://docs.google.com/spreadsheets/d/1eHaY18a8A9IcSdp1K8H6x8fbOy06t2VsZHhMHf-1x7Y/edit?usp=sharing"",""แผน!EY68"")"),125)</f>
        <v>125</v>
      </c>
      <c r="J371" s="426">
        <f ca="1">IFERROR(__xludf.DUMMYFUNCTION("IMPORTRANGE(""https://docs.google.com/spreadsheets/d/1tdoBKaGub7dwA3U6UFTqxio9LNnvDCQjHKmttSEBsFQ/edit?usp=sharing"",""จัดที่ดิน!AF68"")"),44)</f>
        <v>44</v>
      </c>
      <c r="K371" s="427">
        <f t="shared" ca="1" si="51"/>
        <v>35.200000000000003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IFERROR(__xludf.DUMMYFUNCTION("IMPORTRANGE(""https://docs.google.com/spreadsheets/d/1tdoBKaGub7dwA3U6UFTqxio9LNnvDCQjHKmttSEBsFQ/edit?usp=sharing"",""จัดที่ดิน!AG68"")"),908.75)</f>
        <v>908.75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IFERROR(__xludf.DUMMYFUNCTION("IMPORTRANGE(""https://docs.google.com/spreadsheets/d/1-uDff_7J0KD5mKrp0Vvzr7lt3OU09vwQwhkpOPPYv2Y/edit?usp=sharing"",""งบพรบ!FM68"")"),0)</f>
        <v>0</v>
      </c>
      <c r="M382" s="502">
        <f ca="1">IFERROR(__xludf.DUMMYFUNCTION("IMPORTRANGE(""https://docs.google.com/spreadsheets/d/1-uDff_7J0KD5mKrp0Vvzr7lt3OU09vwQwhkpOPPYv2Y/edit?usp=sharing"",""งบพรบ!FR68"")"),0)</f>
        <v>0</v>
      </c>
      <c r="N382" s="502">
        <f ca="1">IFERROR(__xludf.DUMMYFUNCTION("IMPORTRANGE(""https://docs.google.com/spreadsheets/d/1-uDff_7J0KD5mKrp0Vvzr7lt3OU09vwQwhkpOPPYv2Y/edit?usp=sharing"",""งบพรบ!FT68"")"),0)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IFERROR(__xludf.DUMMYFUNCTION("IMPORTRANGE(""https://docs.google.com/spreadsheets/d/1-uDff_7J0KD5mKrp0Vvzr7lt3OU09vwQwhkpOPPYv2Y/edit?usp=sharing"",""งบพรบ!FP68"")"),0)</f>
        <v>0</v>
      </c>
      <c r="M385" s="502">
        <f ca="1">IFERROR(__xludf.DUMMYFUNCTION("IMPORTRANGE(""https://docs.google.com/spreadsheets/d/1-uDff_7J0KD5mKrp0Vvzr7lt3OU09vwQwhkpOPPYv2Y/edit?usp=sharing"",""งบพรบ!FS68"")"),0)</f>
        <v>0</v>
      </c>
      <c r="N385" s="502">
        <f ca="1">IFERROR(__xludf.DUMMYFUNCTION("IMPORTRANGE(""https://docs.google.com/spreadsheets/d/1-uDff_7J0KD5mKrp0Vvzr7lt3OU09vwQwhkpOPPYv2Y/edit?usp=sharing"",""งบพรบ!FU68"")"),0)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DD760-F3A6-4284-8F1D-231919B9B39E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270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9.5" hidden="1" x14ac:dyDescent="0.3">
      <c r="A9" s="929"/>
      <c r="B9" s="764"/>
      <c r="C9" s="764"/>
      <c r="D9" s="764"/>
      <c r="E9" s="764"/>
      <c r="F9" s="764"/>
      <c r="G9" s="966"/>
      <c r="H9" s="966"/>
      <c r="I9" s="966"/>
      <c r="J9" s="966"/>
      <c r="K9" s="966"/>
      <c r="L9" s="966"/>
      <c r="M9" s="966"/>
      <c r="N9" s="966"/>
      <c r="O9" s="966"/>
      <c r="P9" s="966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2623279</v>
      </c>
      <c r="M18" s="843">
        <f ca="1">M19+M20</f>
        <v>2251256</v>
      </c>
      <c r="N18" s="843">
        <f ca="1">N19+N20</f>
        <v>744656.88</v>
      </c>
      <c r="O18" s="843">
        <f t="shared" ref="O18:O26" ca="1" si="0">IF(L18&gt;0,N18*100/L18,0)</f>
        <v>28.386491867620638</v>
      </c>
      <c r="P18" s="843">
        <f t="shared" ref="P18:P26" ca="1" si="1">IF(M18&gt;0,N18*100/M18,0)</f>
        <v>33.077396795388886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2623279</v>
      </c>
      <c r="M20" s="947">
        <f t="shared" ca="1" si="2"/>
        <v>2251256</v>
      </c>
      <c r="N20" s="947">
        <f t="shared" ca="1" si="2"/>
        <v>744656.88</v>
      </c>
      <c r="O20" s="947">
        <f t="shared" ca="1" si="0"/>
        <v>28.386491867620638</v>
      </c>
      <c r="P20" s="947">
        <f t="shared" ca="1" si="1"/>
        <v>33.077396795388886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2623279</v>
      </c>
      <c r="M21" s="427">
        <f ca="1">M22+M23</f>
        <v>2251256</v>
      </c>
      <c r="N21" s="427">
        <f ca="1">N22+N23</f>
        <v>744656.88</v>
      </c>
      <c r="O21" s="427">
        <f t="shared" ca="1" si="0"/>
        <v>28.386491867620638</v>
      </c>
      <c r="P21" s="427">
        <f t="shared" ca="1" si="1"/>
        <v>33.077396795388886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2623279</v>
      </c>
      <c r="M23" s="427">
        <f t="shared" ca="1" si="3"/>
        <v>2251256</v>
      </c>
      <c r="N23" s="427">
        <f t="shared" ca="1" si="3"/>
        <v>744656.88</v>
      </c>
      <c r="O23" s="427">
        <f t="shared" ca="1" si="0"/>
        <v>28.386491867620638</v>
      </c>
      <c r="P23" s="427">
        <f t="shared" ca="1" si="1"/>
        <v>33.077396795388886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2623279</v>
      </c>
      <c r="M40" s="940">
        <f ca="1">M44+M59+M72+M94+M125+M139+M157+M173+M186+M266+M282+M303+M320+M333+M356</f>
        <v>2251256</v>
      </c>
      <c r="N40" s="940">
        <f ca="1">N44+N59+N72+N94+N125+N139+N157+N173+N186+N266+N282+N303+N320+N333+N356</f>
        <v>744656.88</v>
      </c>
      <c r="O40" s="940">
        <f ca="1">IF(L40&gt;0,N40*100/L40,0)</f>
        <v>28.386491867620638</v>
      </c>
      <c r="P40" s="940">
        <f ca="1">IF(M40&gt;0,N40*100/M40,0)</f>
        <v>33.077396795388886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276409</v>
      </c>
      <c r="M44" s="925">
        <f ca="1">M45+M46</f>
        <v>285186</v>
      </c>
      <c r="N44" s="925">
        <f ca="1">N45+N46</f>
        <v>144351</v>
      </c>
      <c r="O44" s="925">
        <f t="shared" ref="O44:O52" ca="1" si="5">IF(L44&gt;0,N44*100/L44,0)</f>
        <v>52.223697491760397</v>
      </c>
      <c r="P44" s="925">
        <f t="shared" ref="P44:P52" ca="1" si="6">IF(M44&gt;0,N44*100/M44,0)</f>
        <v>50.616439797184995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276409</v>
      </c>
      <c r="M46" s="917">
        <f t="shared" ca="1" si="7"/>
        <v>285186</v>
      </c>
      <c r="N46" s="917">
        <f t="shared" ca="1" si="7"/>
        <v>144351</v>
      </c>
      <c r="O46" s="917">
        <f t="shared" ca="1" si="5"/>
        <v>52.223697491760397</v>
      </c>
      <c r="P46" s="917">
        <f t="shared" ca="1" si="6"/>
        <v>50.616439797184995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276409</v>
      </c>
      <c r="M47" s="427">
        <f ca="1">M48+M49</f>
        <v>285186</v>
      </c>
      <c r="N47" s="427">
        <f ca="1">N48+N49</f>
        <v>144351</v>
      </c>
      <c r="O47" s="427">
        <f t="shared" ca="1" si="5"/>
        <v>52.223697491760397</v>
      </c>
      <c r="P47" s="427">
        <f t="shared" ca="1" si="6"/>
        <v>50.616439797184995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IFERROR(__xludf.DUMMYFUNCTION("IMPORTRANGE(""https://docs.google.com/spreadsheets/d/1-uDff_7J0KD5mKrp0Vvzr7lt3OU09vwQwhkpOPPYv2Y/edit?usp=sharing"",""งบพรบ!P69"")"),276409)</f>
        <v>276409</v>
      </c>
      <c r="M49" s="427">
        <f ca="1">IFERROR(__xludf.DUMMYFUNCTION("IMPORTRANGE(""https://docs.google.com/spreadsheets/d/1-uDff_7J0KD5mKrp0Vvzr7lt3OU09vwQwhkpOPPYv2Y/edit?usp=sharing"",""งบพรบ!V69"")"),285186)</f>
        <v>285186</v>
      </c>
      <c r="N49" s="427">
        <f ca="1">IFERROR(__xludf.DUMMYFUNCTION("IMPORTRANGE(""https://docs.google.com/spreadsheets/d/1-uDff_7J0KD5mKrp0Vvzr7lt3OU09vwQwhkpOPPYv2Y/edit?usp=sharing"",""งบพรบ!Y69"")"),144351)</f>
        <v>144351</v>
      </c>
      <c r="O49" s="427">
        <f t="shared" ca="1" si="5"/>
        <v>52.223697491760397</v>
      </c>
      <c r="P49" s="427">
        <f t="shared" ca="1" si="6"/>
        <v>50.616439797184995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IFERROR(__xludf.DUMMYFUNCTION("IMPORTRANGE(""https://docs.google.com/spreadsheets/d/1-uDff_7J0KD5mKrp0Vvzr7lt3OU09vwQwhkpOPPYv2Y/edit?usp=sharing"",""งบพรบ!S69"")"),0)</f>
        <v>0</v>
      </c>
      <c r="M52" s="427">
        <f ca="1">IFERROR(__xludf.DUMMYFUNCTION("IMPORTRANGE(""https://docs.google.com/spreadsheets/d/1-uDff_7J0KD5mKrp0Vvzr7lt3OU09vwQwhkpOPPYv2Y/edit?usp=sharing"",""งบพรบ!W69"")"),0)</f>
        <v>0</v>
      </c>
      <c r="N52" s="427">
        <f ca="1">IFERROR(__xludf.DUMMYFUNCTION("IMPORTRANGE(""https://docs.google.com/spreadsheets/d/1-uDff_7J0KD5mKrp0Vvzr7lt3OU09vwQwhkpOPPYv2Y/edit?usp=sharing"",""งบพรบ!Z69"")"),0)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558400</v>
      </c>
      <c r="M59" s="899">
        <f ca="1">M60+M61</f>
        <v>420850</v>
      </c>
      <c r="N59" s="899">
        <f ca="1">N60+N61</f>
        <v>264653.74</v>
      </c>
      <c r="O59" s="899">
        <f t="shared" ref="O59:O67" ca="1" si="8">IF(L59&gt;0,N59*100/L59,0)</f>
        <v>47.395010744985676</v>
      </c>
      <c r="P59" s="899">
        <f t="shared" ref="P59:P67" ca="1" si="9">IF(M59&gt;0,N59*100/M59,0)</f>
        <v>62.885526909825352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558400</v>
      </c>
      <c r="M61" s="891">
        <f t="shared" ca="1" si="10"/>
        <v>420850</v>
      </c>
      <c r="N61" s="891">
        <f t="shared" ca="1" si="10"/>
        <v>264653.74</v>
      </c>
      <c r="O61" s="891">
        <f t="shared" ca="1" si="8"/>
        <v>47.395010744985676</v>
      </c>
      <c r="P61" s="891">
        <f t="shared" ca="1" si="9"/>
        <v>62.885526909825352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558400</v>
      </c>
      <c r="M62" s="427">
        <f ca="1">M63+M64</f>
        <v>420850</v>
      </c>
      <c r="N62" s="427">
        <f ca="1">N63+N64</f>
        <v>264653.74</v>
      </c>
      <c r="O62" s="427">
        <f t="shared" ca="1" si="8"/>
        <v>47.395010744985676</v>
      </c>
      <c r="P62" s="427">
        <f t="shared" ca="1" si="9"/>
        <v>62.885526909825352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IFERROR(__xludf.DUMMYFUNCTION("IMPORTRANGE(""https://docs.google.com/spreadsheets/d/1-uDff_7J0KD5mKrp0Vvzr7lt3OU09vwQwhkpOPPYv2Y/edit?usp=sharing"",""งบพรบ!AC69"")"),558400)</f>
        <v>558400</v>
      </c>
      <c r="M64" s="427">
        <f ca="1">IFERROR(__xludf.DUMMYFUNCTION("IMPORTRANGE(""https://docs.google.com/spreadsheets/d/1-uDff_7J0KD5mKrp0Vvzr7lt3OU09vwQwhkpOPPYv2Y/edit?usp=sharing"",""งบพรบ!AH69"")"),420850)</f>
        <v>420850</v>
      </c>
      <c r="N64" s="427">
        <f ca="1">IFERROR(__xludf.DUMMYFUNCTION("IMPORTRANGE(""https://docs.google.com/spreadsheets/d/1-uDff_7J0KD5mKrp0Vvzr7lt3OU09vwQwhkpOPPYv2Y/edit?usp=sharing"",""งบพรบ!AJ69"")"),264653.74)</f>
        <v>264653.74</v>
      </c>
      <c r="O64" s="427">
        <f t="shared" ca="1" si="8"/>
        <v>47.395010744985676</v>
      </c>
      <c r="P64" s="427">
        <f t="shared" ca="1" si="9"/>
        <v>62.885526909825352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IFERROR(__xludf.DUMMYFUNCTION("IMPORTRANGE(""https://docs.google.com/spreadsheets/d/1-uDff_7J0KD5mKrp0Vvzr7lt3OU09vwQwhkpOPPYv2Y/edit?usp=sharing"",""งบพรบ!AF69"")"),0)</f>
        <v>0</v>
      </c>
      <c r="M67" s="624">
        <f ca="1">IFERROR(__xludf.DUMMYFUNCTION("IMPORTRANGE(""https://docs.google.com/spreadsheets/d/1-uDff_7J0KD5mKrp0Vvzr7lt3OU09vwQwhkpOPPYv2Y/edit?usp=sharing"",""งบพรบ!AI69"")"),0)</f>
        <v>0</v>
      </c>
      <c r="N67" s="624">
        <f ca="1">IFERROR(__xludf.DUMMYFUNCTION("IMPORTRANGE(""https://docs.google.com/spreadsheets/d/1-uDff_7J0KD5mKrp0Vvzr7lt3OU09vwQwhkpOPPYv2Y/edit?usp=sharing"",""งบพรบ!AK69"")"),0)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1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69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650300</v>
      </c>
      <c r="M72" s="715">
        <f ca="1">M73+M74</f>
        <v>563700</v>
      </c>
      <c r="N72" s="715">
        <f ca="1">N73+N74</f>
        <v>132778.81</v>
      </c>
      <c r="O72" s="715">
        <f t="shared" ref="O72:O80" ca="1" si="11">IF(L72&gt;0,N72*100/L72,0)</f>
        <v>20.418085499000462</v>
      </c>
      <c r="P72" s="715">
        <f t="shared" ref="P72:P80" ca="1" si="12">IF(M72&gt;0,N72*100/M72,0)</f>
        <v>23.554871385488735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650300</v>
      </c>
      <c r="M74" s="427">
        <f t="shared" ca="1" si="13"/>
        <v>563700</v>
      </c>
      <c r="N74" s="427">
        <f t="shared" ca="1" si="13"/>
        <v>132778.81</v>
      </c>
      <c r="O74" s="427">
        <f t="shared" ca="1" si="11"/>
        <v>20.418085499000462</v>
      </c>
      <c r="P74" s="427">
        <f t="shared" ca="1" si="12"/>
        <v>23.554871385488735</v>
      </c>
    </row>
    <row r="75" spans="1:16" ht="18.75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650300</v>
      </c>
      <c r="M75" s="427">
        <f ca="1">M76+M77</f>
        <v>563700</v>
      </c>
      <c r="N75" s="427">
        <f ca="1">N76+N77</f>
        <v>132778.81</v>
      </c>
      <c r="O75" s="427">
        <f t="shared" ca="1" si="11"/>
        <v>20.418085499000462</v>
      </c>
      <c r="P75" s="427">
        <f t="shared" ca="1" si="12"/>
        <v>23.554871385488735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IFERROR(__xludf.DUMMYFUNCTION("IMPORTRANGE(""https://docs.google.com/spreadsheets/d/1-uDff_7J0KD5mKrp0Vvzr7lt3OU09vwQwhkpOPPYv2Y/edit?usp=sharing"",""งบพรบ!AM69"")"),650300)</f>
        <v>650300</v>
      </c>
      <c r="M77" s="427">
        <f ca="1">IFERROR(__xludf.DUMMYFUNCTION("IMPORTRANGE(""https://docs.google.com/spreadsheets/d/1-uDff_7J0KD5mKrp0Vvzr7lt3OU09vwQwhkpOPPYv2Y/edit?usp=sharing"",""งบพรบ!AR69"")"),563700)</f>
        <v>563700</v>
      </c>
      <c r="N77" s="427">
        <f ca="1">IFERROR(__xludf.DUMMYFUNCTION("IMPORTRANGE(""https://docs.google.com/spreadsheets/d/1-uDff_7J0KD5mKrp0Vvzr7lt3OU09vwQwhkpOPPYv2Y/edit?usp=sharing"",""งบพรบ!AT69"")"),132778.81)</f>
        <v>132778.81</v>
      </c>
      <c r="O77" s="427">
        <f t="shared" ca="1" si="11"/>
        <v>20.418085499000462</v>
      </c>
      <c r="P77" s="427">
        <f t="shared" ca="1" si="12"/>
        <v>23.554871385488735</v>
      </c>
    </row>
    <row r="78" spans="1:16" ht="18.75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IFERROR(__xludf.DUMMYFUNCTION("IMPORTRANGE(""https://docs.google.com/spreadsheets/d/1-uDff_7J0KD5mKrp0Vvzr7lt3OU09vwQwhkpOPPYv2Y/edit?usp=sharing"",""งบพรบ!AP69"")"),0)</f>
        <v>0</v>
      </c>
      <c r="M80" s="427">
        <f ca="1">IFERROR(__xludf.DUMMYFUNCTION("IMPORTRANGE(""https://docs.google.com/spreadsheets/d/1-uDff_7J0KD5mKrp0Vvzr7lt3OU09vwQwhkpOPPYv2Y/edit?usp=sharing"",""งบพรบ!AS69"")"),0)</f>
        <v>0</v>
      </c>
      <c r="N80" s="427">
        <f ca="1">IFERROR(__xludf.DUMMYFUNCTION("IMPORTRANGE(""https://docs.google.com/spreadsheets/d/1-uDff_7J0KD5mKrp0Vvzr7lt3OU09vwQwhkpOPPYv2Y/edit?usp=sharing"",""งบพรบ!AU69"")"),0)</f>
        <v>0</v>
      </c>
      <c r="O80" s="427">
        <f t="shared" ca="1" si="11"/>
        <v>0</v>
      </c>
      <c r="P80" s="427">
        <f t="shared" ca="1" si="12"/>
        <v>0</v>
      </c>
    </row>
    <row r="81" spans="1:16" ht="19.5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1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69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IFERROR(__xludf.DUMMYFUNCTION("IMPORTRANGE(""https://docs.google.com/spreadsheets/d/1eHaY18a8A9IcSdp1K8H6x8fbOy06t2VsZHhMHf-1x7Y/edit?usp=sharing"",""แผน!H69"")"),0)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IFERROR(__xludf.DUMMYFUNCTION("IMPORTRANGE(""https://docs.google.com/spreadsheets/d/1eHaY18a8A9IcSdp1K8H6x8fbOy06t2VsZHhMHf-1x7Y/edit?usp=sharing"",""แผน!I69"")"),0)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IFERROR(__xludf.DUMMYFUNCTION("IMPORTRANGE(""https://docs.google.com/spreadsheets/d/1eHaY18a8A9IcSdp1K8H6x8fbOy06t2VsZHhMHf-1x7Y/edit?usp=sharing"",""แผน!F69"")"),0)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IFERROR(__xludf.DUMMYFUNCTION("IMPORTRANGE(""https://docs.google.com/spreadsheets/d/1eHaY18a8A9IcSdp1K8H6x8fbOy06t2VsZHhMHf-1x7Y/edit?usp=sharing"",""แผน!G69"")"),0)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IFERROR(__xludf.DUMMYFUNCTION("IMPORTRANGE(""https://docs.google.com/spreadsheets/d/1eHaY18a8A9IcSdp1K8H6x8fbOy06t2VsZHhMHf-1x7Y/edit?usp=sharing"",""แผน!D69"")"),1)</f>
        <v>1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IFERROR(__xludf.DUMMYFUNCTION("IMPORTRANGE(""https://docs.google.com/spreadsheets/d/1eHaY18a8A9IcSdp1K8H6x8fbOy06t2VsZHhMHf-1x7Y/edit?usp=sharing"",""แผน!E69"")"),69)</f>
        <v>69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IFERROR(__xludf.DUMMYFUNCTION("IMPORTRANGE(""https://docs.google.com/spreadsheets/d/1eHaY18a8A9IcSdp1K8H6x8fbOy06t2VsZHhMHf-1x7Y/edit?usp=sharing"",""แผน!J69"")"),1)</f>
        <v>1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IFERROR(__xludf.DUMMYFUNCTION("IMPORTRANGE(""https://docs.google.com/spreadsheets/d/1-uDff_7J0KD5mKrp0Vvzr7lt3OU09vwQwhkpOPPYv2Y/edit?usp=sharing"",""งบพรบ!AW69"")"),0)</f>
        <v>0</v>
      </c>
      <c r="M99" s="427">
        <f ca="1">IFERROR(__xludf.DUMMYFUNCTION("IMPORTRANGE(""https://docs.google.com/spreadsheets/d/1-uDff_7J0KD5mKrp0Vvzr7lt3OU09vwQwhkpOPPYv2Y/edit?usp=sharing"",""งบพรบ!BB69"")"),0)</f>
        <v>0</v>
      </c>
      <c r="N99" s="427">
        <f ca="1">IFERROR(__xludf.DUMMYFUNCTION("IMPORTRANGE(""https://docs.google.com/spreadsheets/d/1-uDff_7J0KD5mKrp0Vvzr7lt3OU09vwQwhkpOPPYv2Y/edit?usp=sharing"",""งบพรบ!BD69"")"),0)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IFERROR(__xludf.DUMMYFUNCTION("IMPORTRANGE(""https://docs.google.com/spreadsheets/d/1-uDff_7J0KD5mKrp0Vvzr7lt3OU09vwQwhkpOPPYv2Y/edit?usp=sharing"",""งบพรบ!AZ69"")"),0)</f>
        <v>0</v>
      </c>
      <c r="M102" s="427">
        <f ca="1">IFERROR(__xludf.DUMMYFUNCTION("IMPORTRANGE(""https://docs.google.com/spreadsheets/d/1-uDff_7J0KD5mKrp0Vvzr7lt3OU09vwQwhkpOPPYv2Y/edit?usp=sharing"",""งบพรบ!BC69"")"),0)</f>
        <v>0</v>
      </c>
      <c r="N102" s="427">
        <f ca="1">IFERROR(__xludf.DUMMYFUNCTION("IMPORTRANGE(""https://docs.google.com/spreadsheets/d/1-uDff_7J0KD5mKrp0Vvzr7lt3OU09vwQwhkpOPPYv2Y/edit?usp=sharing"",""งบพรบ!BE69"")"),0)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IFERROR(__xludf.DUMMYFUNCTION("IMPORTRANGE(""https://docs.google.com/spreadsheets/d/1eHaY18a8A9IcSdp1K8H6x8fbOy06t2VsZHhMHf-1x7Y/edit?usp=sharing"",""แผน!N69"")"),0)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IFERROR(__xludf.DUMMYFUNCTION("IMPORTRANGE(""https://docs.google.com/spreadsheets/d/1eHaY18a8A9IcSdp1K8H6x8fbOy06t2VsZHhMHf-1x7Y/edit?usp=sharing"",""แผน!O69"")"),0)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IFERROR(__xludf.DUMMYFUNCTION("IMPORTRANGE(""https://docs.google.com/spreadsheets/d/1eHaY18a8A9IcSdp1K8H6x8fbOy06t2VsZHhMHf-1x7Y/edit?usp=sharing"",""แผน!R69"")"),0)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IFERROR(__xludf.DUMMYFUNCTION("IMPORTRANGE(""https://docs.google.com/spreadsheets/d/1-uDff_7J0KD5mKrp0Vvzr7lt3OU09vwQwhkpOPPYv2Y/edit?usp=sharing"",""งบพรบ!BG69"")"),0)</f>
        <v>0</v>
      </c>
      <c r="M130" s="864">
        <f ca="1">IFERROR(__xludf.DUMMYFUNCTION("IMPORTRANGE(""https://docs.google.com/spreadsheets/d/1-uDff_7J0KD5mKrp0Vvzr7lt3OU09vwQwhkpOPPYv2Y/edit?usp=sharing"",""งบพรบ!BL69"")"),0)</f>
        <v>0</v>
      </c>
      <c r="N130" s="864">
        <f ca="1">IFERROR(__xludf.DUMMYFUNCTION("IMPORTRANGE(""https://docs.google.com/spreadsheets/d/1-uDff_7J0KD5mKrp0Vvzr7lt3OU09vwQwhkpOPPYv2Y/edit?usp=sharing"",""งบพรบ!BN69"")"),0)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IFERROR(__xludf.DUMMYFUNCTION("IMPORTRANGE(""https://docs.google.com/spreadsheets/d/1-uDff_7J0KD5mKrp0Vvzr7lt3OU09vwQwhkpOPPYv2Y/edit?usp=sharing"",""งบพรบ!BJ69"")"),0)</f>
        <v>0</v>
      </c>
      <c r="M133" s="864">
        <f ca="1">IFERROR(__xludf.DUMMYFUNCTION("IMPORTRANGE(""https://docs.google.com/spreadsheets/d/1-uDff_7J0KD5mKrp0Vvzr7lt3OU09vwQwhkpOPPYv2Y/edit?usp=sharing"",""งบพรบ!BM69"")"),0)</f>
        <v>0</v>
      </c>
      <c r="N133" s="864">
        <f ca="1">IFERROR(__xludf.DUMMYFUNCTION("IMPORTRANGE(""https://docs.google.com/spreadsheets/d/1-uDff_7J0KD5mKrp0Vvzr7lt3OU09vwQwhkpOPPYv2Y/edit?usp=sharing"",""งบพรบ!BO69"")"),0)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IFERROR(__xludf.DUMMYFUNCTION("IMPORTRANGE(""https://docs.google.com/spreadsheets/d/1-uDff_7J0KD5mKrp0Vvzr7lt3OU09vwQwhkpOPPYv2Y/edit?usp=sharing"",""งบพรบ!BQ69"")"),0)</f>
        <v>0</v>
      </c>
      <c r="M144" s="427">
        <f ca="1">IFERROR(__xludf.DUMMYFUNCTION("IMPORTRANGE(""https://docs.google.com/spreadsheets/d/1-uDff_7J0KD5mKrp0Vvzr7lt3OU09vwQwhkpOPPYv2Y/edit?usp=sharing"",""งบพรบ!BV69"")"),0)</f>
        <v>0</v>
      </c>
      <c r="N144" s="427">
        <f ca="1">IFERROR(__xludf.DUMMYFUNCTION("IMPORTRANGE(""https://docs.google.com/spreadsheets/d/1-uDff_7J0KD5mKrp0Vvzr7lt3OU09vwQwhkpOPPYv2Y/edit?usp=sharing"",""งบพรบ!BX69"")"),0)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IFERROR(__xludf.DUMMYFUNCTION("IMPORTRANGE(""https://docs.google.com/spreadsheets/d/1-uDff_7J0KD5mKrp0Vvzr7lt3OU09vwQwhkpOPPYv2Y/edit?usp=sharing"",""งบพรบ!BT69"")"),0)</f>
        <v>0</v>
      </c>
      <c r="M147" s="427">
        <f ca="1">IFERROR(__xludf.DUMMYFUNCTION("IMPORTRANGE(""https://docs.google.com/spreadsheets/d/1-uDff_7J0KD5mKrp0Vvzr7lt3OU09vwQwhkpOPPYv2Y/edit?usp=sharing"",""งบพรบ!BW69"")"),0)</f>
        <v>0</v>
      </c>
      <c r="N147" s="427">
        <f ca="1">IFERROR(__xludf.DUMMYFUNCTION("IMPORTRANGE(""https://docs.google.com/spreadsheets/d/1-uDff_7J0KD5mKrp0Vvzr7lt3OU09vwQwhkpOPPYv2Y/edit?usp=sharing"",""งบพรบ!BY69"")"),0)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IFERROR(__xludf.DUMMYFUNCTION("IMPORTRANGE(""https://docs.google.com/spreadsheets/d/1eHaY18a8A9IcSdp1K8H6x8fbOy06t2VsZHhMHf-1x7Y/edit?usp=sharing"",""แผน!U69"")"),0)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IFERROR(__xludf.DUMMYFUNCTION("IMPORTRANGE(""https://docs.google.com/spreadsheets/d/1eHaY18a8A9IcSdp1K8H6x8fbOy06t2VsZHhMHf-1x7Y/edit?usp=sharing"",""แผน!V69"")"),0)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IFERROR(__xludf.DUMMYFUNCTION("IMPORTRANGE(""https://docs.google.com/spreadsheets/d/1eHaY18a8A9IcSdp1K8H6x8fbOy06t2VsZHhMHf-1x7Y/edit?usp=sharing"",""แผน!W69"")"),0)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IFERROR(__xludf.DUMMYFUNCTION("IMPORTRANGE(""https://docs.google.com/spreadsheets/d/1eHaY18a8A9IcSdp1K8H6x8fbOy06t2VsZHhMHf-1x7Y/edit?usp=sharing"",""แผน!X69"")"),0)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IFERROR(__xludf.DUMMYFUNCTION("IMPORTRANGE(""https://docs.google.com/spreadsheets/d/1eHaY18a8A9IcSdp1K8H6x8fbOy06t2VsZHhMHf-1x7Y/edit?usp=sharing"",""แผน!Y69"")"),0)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IFERROR(__xludf.DUMMYFUNCTION("IMPORTRANGE(""https://docs.google.com/spreadsheets/d/1-uDff_7J0KD5mKrp0Vvzr7lt3OU09vwQwhkpOPPYv2Y/edit?usp=sharing"",""งบพรบ!CA69"")"),0)</f>
        <v>0</v>
      </c>
      <c r="M162" s="427">
        <f ca="1">IFERROR(__xludf.DUMMYFUNCTION("IMPORTRANGE(""https://docs.google.com/spreadsheets/d/1-uDff_7J0KD5mKrp0Vvzr7lt3OU09vwQwhkpOPPYv2Y/edit?usp=sharing"",""งบพรบ!CF69"")"),0)</f>
        <v>0</v>
      </c>
      <c r="N162" s="427">
        <f ca="1">IFERROR(__xludf.DUMMYFUNCTION("IMPORTRANGE(""https://docs.google.com/spreadsheets/d/1-uDff_7J0KD5mKrp0Vvzr7lt3OU09vwQwhkpOPPYv2Y/edit?usp=sharing"",""งบพรบ!CH69"")"),0)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IFERROR(__xludf.DUMMYFUNCTION("IMPORTRANGE(""https://docs.google.com/spreadsheets/d/1-uDff_7J0KD5mKrp0Vvzr7lt3OU09vwQwhkpOPPYv2Y/edit?usp=sharing"",""งบพรบ!CD69"")"),0)</f>
        <v>0</v>
      </c>
      <c r="M165" s="427">
        <f ca="1">IFERROR(__xludf.DUMMYFUNCTION("IMPORTRANGE(""https://docs.google.com/spreadsheets/d/1-uDff_7J0KD5mKrp0Vvzr7lt3OU09vwQwhkpOPPYv2Y/edit?usp=sharing"",""งบพรบ!CG69"")"),0)</f>
        <v>0</v>
      </c>
      <c r="N165" s="427">
        <f ca="1">IFERROR(__xludf.DUMMYFUNCTION("IMPORTRANGE(""https://docs.google.com/spreadsheets/d/1-uDff_7J0KD5mKrp0Vvzr7lt3OU09vwQwhkpOPPYv2Y/edit?usp=sharing"",""งบพรบ!CI69"")"),0)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IFERROR(__xludf.DUMMYFUNCTION("IMPORTRANGE(""https://docs.google.com/spreadsheets/d/1eHaY18a8A9IcSdp1K8H6x8fbOy06t2VsZHhMHf-1x7Y/edit?usp=sharing"",""แผน!Z69"")"),0)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IFERROR(__xludf.DUMMYFUNCTION("IMPORTRANGE(""https://docs.google.com/spreadsheets/d/1eHaY18a8A9IcSdp1K8H6x8fbOy06t2VsZHhMHf-1x7Y/edit?usp=sharing"",""แผน!Z69"")"),0)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IFERROR(__xludf.DUMMYFUNCTION("IMPORTRANGE(""https://docs.google.com/spreadsheets/d/1eHaY18a8A9IcSdp1K8H6x8fbOy06t2VsZHhMHf-1x7Y/edit?usp=sharing"",""แผน!Z69"")"),0)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IFERROR(__xludf.DUMMYFUNCTION("IMPORTRANGE(""https://docs.google.com/spreadsheets/d/1-uDff_7J0KD5mKrp0Vvzr7lt3OU09vwQwhkpOPPYv2Y/edit?usp=sharing"",""งบพรบ!CK69"")"),19590)</f>
        <v>19590</v>
      </c>
      <c r="M178" s="427">
        <f ca="1">IFERROR(__xludf.DUMMYFUNCTION("IMPORTRANGE(""https://docs.google.com/spreadsheets/d/1-uDff_7J0KD5mKrp0Vvzr7lt3OU09vwQwhkpOPPYv2Y/edit?usp=sharing"",""งบพรบ!CP69"")"),19590)</f>
        <v>19590</v>
      </c>
      <c r="N178" s="427">
        <f ca="1">IFERROR(__xludf.DUMMYFUNCTION("IMPORTRANGE(""https://docs.google.com/spreadsheets/d/1-uDff_7J0KD5mKrp0Vvzr7lt3OU09vwQwhkpOPPYv2Y/edit?usp=sharing"",""งบพรบ!CR69"")"),0)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IFERROR(__xludf.DUMMYFUNCTION("IMPORTRANGE(""https://docs.google.com/spreadsheets/d/1-uDff_7J0KD5mKrp0Vvzr7lt3OU09vwQwhkpOPPYv2Y/edit?usp=sharing"",""งบพรบ!CN69"")"),0)</f>
        <v>0</v>
      </c>
      <c r="M181" s="427">
        <f ca="1">IFERROR(__xludf.DUMMYFUNCTION("IMPORTRANGE(""https://docs.google.com/spreadsheets/d/1-uDff_7J0KD5mKrp0Vvzr7lt3OU09vwQwhkpOPPYv2Y/edit?usp=sharing"",""งบพรบ!CQ69"")"),0)</f>
        <v>0</v>
      </c>
      <c r="N181" s="427">
        <f ca="1">IFERROR(__xludf.DUMMYFUNCTION("IMPORTRANGE(""https://docs.google.com/spreadsheets/d/1-uDff_7J0KD5mKrp0Vvzr7lt3OU09vwQwhkpOPPYv2Y/edit?usp=sharing"",""งบพรบ!CS69"")"),0)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IFERROR(__xludf.DUMMYFUNCTION("IMPORTRANGE(""https://docs.google.com/spreadsheets/d/1eHaY18a8A9IcSdp1K8H6x8fbOy06t2VsZHhMHf-1x7Y/edit?usp=sharing"",""แผน!AA69"")"),7)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60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269300</v>
      </c>
      <c r="M186" s="715">
        <f ca="1">M187+M188</f>
        <v>219300</v>
      </c>
      <c r="N186" s="715">
        <f ca="1">N187+N188</f>
        <v>0</v>
      </c>
      <c r="O186" s="715">
        <f t="shared" ref="O186:O194" ca="1" si="30">IF(L186&gt;0,N186*100/L186,0)</f>
        <v>0</v>
      </c>
      <c r="P186" s="715">
        <f t="shared" ref="P186:P194" ca="1" si="31">IF(M186&gt;0,N186*100/M186,0)</f>
        <v>0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269300</v>
      </c>
      <c r="M188" s="427">
        <f t="shared" ca="1" si="32"/>
        <v>219300</v>
      </c>
      <c r="N188" s="427">
        <f t="shared" ca="1" si="32"/>
        <v>0</v>
      </c>
      <c r="O188" s="427">
        <f t="shared" ca="1" si="30"/>
        <v>0</v>
      </c>
      <c r="P188" s="427">
        <f t="shared" ca="1" si="31"/>
        <v>0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269300</v>
      </c>
      <c r="M189" s="427">
        <f ca="1">M190+M191</f>
        <v>219300</v>
      </c>
      <c r="N189" s="427">
        <f ca="1">N190+N191</f>
        <v>0</v>
      </c>
      <c r="O189" s="427">
        <f t="shared" ca="1" si="30"/>
        <v>0</v>
      </c>
      <c r="P189" s="427">
        <f t="shared" ca="1" si="31"/>
        <v>0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IFERROR(__xludf.DUMMYFUNCTION("IMPORTRANGE(""https://docs.google.com/spreadsheets/d/1-uDff_7J0KD5mKrp0Vvzr7lt3OU09vwQwhkpOPPYv2Y/edit?usp=sharing"",""งบพรบ!CU69"")"),269300)</f>
        <v>269300</v>
      </c>
      <c r="M191" s="427">
        <f ca="1">IFERROR(__xludf.DUMMYFUNCTION("IMPORTRANGE(""https://docs.google.com/spreadsheets/d/1-uDff_7J0KD5mKrp0Vvzr7lt3OU09vwQwhkpOPPYv2Y/edit?usp=sharing"",""งบพรบ!CZ69"")"),219300)</f>
        <v>219300</v>
      </c>
      <c r="N191" s="427">
        <f ca="1">IFERROR(__xludf.DUMMYFUNCTION("IMPORTRANGE(""https://docs.google.com/spreadsheets/d/1-uDff_7J0KD5mKrp0Vvzr7lt3OU09vwQwhkpOPPYv2Y/edit?usp=sharing"",""งบพรบ!DB69"")"),0)</f>
        <v>0</v>
      </c>
      <c r="O191" s="427">
        <f t="shared" ca="1" si="30"/>
        <v>0</v>
      </c>
      <c r="P191" s="427">
        <f t="shared" ca="1" si="31"/>
        <v>0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IFERROR(__xludf.DUMMYFUNCTION("IMPORTRANGE(""https://docs.google.com/spreadsheets/d/1-uDff_7J0KD5mKrp0Vvzr7lt3OU09vwQwhkpOPPYv2Y/edit?usp=sharing"",""งบพรบ!CX69"")"),0)</f>
        <v>0</v>
      </c>
      <c r="M194" s="427">
        <f ca="1">IFERROR(__xludf.DUMMYFUNCTION("IMPORTRANGE(""https://docs.google.com/spreadsheets/d/1-uDff_7J0KD5mKrp0Vvzr7lt3OU09vwQwhkpOPPYv2Y/edit?usp=sharing"",""งบพรบ!DA69"")"),0)</f>
        <v>0</v>
      </c>
      <c r="N194" s="427">
        <f ca="1">IFERROR(__xludf.DUMMYFUNCTION("IMPORTRANGE(""https://docs.google.com/spreadsheets/d/1-uDff_7J0KD5mKrp0Vvzr7lt3OU09vwQwhkpOPPYv2Y/edit?usp=sharing"",""งบพรบ!DC69"")"),0)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IFERROR(__xludf.DUMMYFUNCTION("IMPORTRANGE(""https://docs.google.com/spreadsheets/d/1eHaY18a8A9IcSdp1K8H6x8fbOy06t2VsZHhMHf-1x7Y/edit?usp=sharing"",""แผน!AB69"")"),6000)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IFERROR(__xludf.DUMMYFUNCTION("IMPORTRANGE(""https://docs.google.com/spreadsheets/d/1eHaY18a8A9IcSdp1K8H6x8fbOy06t2VsZHhMHf-1x7Y/edit?usp=sharing"",""แผน!AE69"")"),4)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3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39000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IFERROR(__xludf.DUMMYFUNCTION("IMPORTRANGE(""https://docs.google.com/spreadsheets/d/1eHaY18a8A9IcSdp1K8H6x8fbOy06t2VsZHhMHf-1x7Y/edit?usp=sharing"",""แผน!AG69"")"),3000)</f>
        <v>3000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IFERROR(__xludf.DUMMYFUNCTION("IMPORTRANGE(""https://docs.google.com/spreadsheets/d/1eHaY18a8A9IcSdp1K8H6x8fbOy06t2VsZHhMHf-1x7Y/edit?usp=sharing"",""แผน!AH69"")"),0)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IFERROR(__xludf.DUMMYFUNCTION("IMPORTRANGE(""https://docs.google.com/spreadsheets/d/1eHaY18a8A9IcSdp1K8H6x8fbOy06t2VsZHhMHf-1x7Y/edit?usp=sharing"",""แผน!AI69"")"),24000)</f>
        <v>24000</v>
      </c>
      <c r="M206" s="430"/>
      <c r="N206" s="818">
        <v>0</v>
      </c>
      <c r="O206" s="678"/>
      <c r="P206" s="430"/>
    </row>
    <row r="207" spans="1:16" ht="18.75" x14ac:dyDescent="0.25">
      <c r="A207" s="1088"/>
      <c r="B207" s="1087"/>
      <c r="C207" s="638"/>
      <c r="D207" s="295" t="s">
        <v>83</v>
      </c>
      <c r="E207" s="638"/>
      <c r="F207" s="638"/>
      <c r="G207" s="637"/>
      <c r="H207" s="636" t="s">
        <v>12</v>
      </c>
      <c r="I207" s="635"/>
      <c r="J207" s="635"/>
      <c r="K207" s="634"/>
      <c r="L207" s="633">
        <f ca="1">IFERROR(__xludf.DUMMYFUNCTION("IMPORTRANGE(""https://docs.google.com/spreadsheets/d/1eHaY18a8A9IcSdp1K8H6x8fbOy06t2VsZHhMHf-1x7Y/edit?usp=sharing"",""แผน!AJ69"")"),12000)</f>
        <v>12000</v>
      </c>
      <c r="M207" s="634"/>
      <c r="N207" s="1086">
        <v>0</v>
      </c>
      <c r="O207" s="1085"/>
      <c r="P207" s="634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IFERROR(__xludf.DUMMYFUNCTION("IMPORTRANGE(""https://docs.google.com/spreadsheets/d/1eHaY18a8A9IcSdp1K8H6x8fbOy06t2VsZHhMHf-1x7Y/edit?usp=sharing"",""แผน!AK69"")"),3)</f>
        <v>3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IFERROR(__xludf.DUMMYFUNCTION("IMPORTRANGE(""https://docs.google.com/spreadsheets/d/1eHaY18a8A9IcSdp1K8H6x8fbOy06t2VsZHhMHf-1x7Y/edit?usp=sharing"",""แผน!JX69"")"),3)</f>
        <v>3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IFERROR(__xludf.DUMMYFUNCTION("IMPORTRANGE(""https://docs.google.com/spreadsheets/d/1eHaY18a8A9IcSdp1K8H6x8fbOy06t2VsZHhMHf-1x7Y/edit?usp=sharing"",""แผน!JY69"")"),0)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6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84000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IFERROR(__xludf.DUMMYFUNCTION("IMPORTRANGE(""https://docs.google.com/spreadsheets/d/1eHaY18a8A9IcSdp1K8H6x8fbOy06t2VsZHhMHf-1x7Y/edit?usp=sharing"",""แผน!AM69"")"),6000)</f>
        <v>6000</v>
      </c>
      <c r="M215" s="430"/>
      <c r="N215" s="818">
        <v>0</v>
      </c>
      <c r="O215" s="678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IFERROR(__xludf.DUMMYFUNCTION("IMPORTRANGE(""https://docs.google.com/spreadsheets/d/1eHaY18a8A9IcSdp1K8H6x8fbOy06t2VsZHhMHf-1x7Y/edit?usp=sharing"",""แผน!AN69"")"),30000)</f>
        <v>30000</v>
      </c>
      <c r="M216" s="430"/>
      <c r="N216" s="818">
        <v>0</v>
      </c>
      <c r="O216" s="678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IFERROR(__xludf.DUMMYFUNCTION("IMPORTRANGE(""https://docs.google.com/spreadsheets/d/1eHaY18a8A9IcSdp1K8H6x8fbOy06t2VsZHhMHf-1x7Y/edit?usp=sharing"",""แผน!AO69"")"),48000)</f>
        <v>48000</v>
      </c>
      <c r="M217" s="430"/>
      <c r="N217" s="818">
        <v>0</v>
      </c>
      <c r="O217" s="678"/>
      <c r="P217" s="430"/>
    </row>
    <row r="218" spans="1:16" ht="19.5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IFERROR(__xludf.DUMMYFUNCTION("IMPORTRANGE(""https://docs.google.com/spreadsheets/d/1eHaY18a8A9IcSdp1K8H6x8fbOy06t2VsZHhMHf-1x7Y/edit?usp=sharing"",""แผน!AP69"")"),6)</f>
        <v>6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IFERROR(__xludf.DUMMYFUNCTION("IMPORTRANGE(""https://docs.google.com/spreadsheets/d/1eHaY18a8A9IcSdp1K8H6x8fbOy06t2VsZHhMHf-1x7Y/edit?usp=sharing"",""แผน!AP69"")"),6)</f>
        <v>6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40000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6500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IFERROR(__xludf.DUMMYFUNCTION("IMPORTRANGE(""https://docs.google.com/spreadsheets/d/1eHaY18a8A9IcSdp1K8H6x8fbOy06t2VsZHhMHf-1x7Y/edit?usp=sharing"",""แผน!AR69"")"),5000)</f>
        <v>5000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IFERROR(__xludf.DUMMYFUNCTION("IMPORTRANGE(""https://docs.google.com/spreadsheets/d/1eHaY18a8A9IcSdp1K8H6x8fbOy06t2VsZHhMHf-1x7Y/edit?usp=sharing"",""แผน!AS69"")"),1500)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IFERROR(__xludf.DUMMYFUNCTION("IMPORTRANGE(""https://docs.google.com/spreadsheets/d/1eHaY18a8A9IcSdp1K8H6x8fbOy06t2VsZHhMHf-1x7Y/edit?usp=sharing"",""แผน!AT69"")"),0)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IFERROR(__xludf.DUMMYFUNCTION("IMPORTRANGE(""https://docs.google.com/spreadsheets/d/1eHaY18a8A9IcSdp1K8H6x8fbOy06t2VsZHhMHf-1x7Y/edit?usp=sharing"",""แผน!AV69"")"),40000)</f>
        <v>40000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IFERROR(__xludf.DUMMYFUNCTION("IMPORTRANGE(""https://docs.google.com/spreadsheets/d/1eHaY18a8A9IcSdp1K8H6x8fbOy06t2VsZHhMHf-1x7Y/edit?usp=sharing"",""แผน!AV69"")"),40000)</f>
        <v>40000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IFERROR(__xludf.DUMMYFUNCTION("IMPORTRANGE(""https://docs.google.com/spreadsheets/d/1eHaY18a8A9IcSdp1K8H6x8fbOy06t2VsZHhMHf-1x7Y/edit?usp=sharing"",""แผน!AU69"")"),0)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597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60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6"/>
      <c r="C232" s="51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133800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6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13000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5000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47800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68000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513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83" t="s">
        <v>33</v>
      </c>
      <c r="I238" s="201">
        <f ca="1">I249+I260</f>
        <v>60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513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83" t="s">
        <v>33</v>
      </c>
      <c r="I240" s="201">
        <f ca="1">I251+I262</f>
        <v>60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83" t="s">
        <v>54</v>
      </c>
      <c r="I241" s="201">
        <f ca="1">I252+I263</f>
        <v>2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283" t="s">
        <v>160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61600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IFERROR(__xludf.DUMMYFUNCTION("IMPORTRANGE(""https://docs.google.com/spreadsheets/d/1eHaY18a8A9IcSdp1K8H6x8fbOy06t2VsZHhMHf-1x7Y/edit?usp=sharing"",""แผน!AX69"")"),8000)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IFERROR(__xludf.DUMMYFUNCTION("IMPORTRANGE(""https://docs.google.com/spreadsheets/d/1eHaY18a8A9IcSdp1K8H6x8fbOy06t2VsZHhMHf-1x7Y/edit?usp=sharing"",""แผน!AY69"")"),2000)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IFERROR(__xludf.DUMMYFUNCTION("IMPORTRANGE(""https://docs.google.com/spreadsheets/d/1eHaY18a8A9IcSdp1K8H6x8fbOy06t2VsZHhMHf-1x7Y/edit?usp=sharing"",""แผน!AZ69"")"),16600)</f>
        <v>16600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IFERROR(__xludf.DUMMYFUNCTION("IMPORTRANGE(""https://docs.google.com/spreadsheets/d/1eHaY18a8A9IcSdp1K8H6x8fbOy06t2VsZHhMHf-1x7Y/edit?usp=sharing"",""แผน!BA69"")"),35000)</f>
        <v>35000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IFERROR(__xludf.DUMMYFUNCTION("IMPORTRANGE(""https://docs.google.com/spreadsheets/d/1eHaY18a8A9IcSdp1K8H6x8fbOy06t2VsZHhMHf-1x7Y/edit?usp=sharing"",""แผน!BG69"")"),20)</f>
        <v>20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IFERROR(__xludf.DUMMYFUNCTION("IMPORTRANGE(""https://docs.google.com/spreadsheets/d/1eHaY18a8A9IcSdp1K8H6x8fbOy06t2VsZHhMHf-1x7Y/edit?usp=sharing"",""แผน!KD69"")"),20)</f>
        <v>20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IFERROR(__xludf.DUMMYFUNCTION("IMPORTRANGE(""https://docs.google.com/spreadsheets/d/1eHaY18a8A9IcSdp1K8H6x8fbOy06t2VsZHhMHf-1x7Y/edit?usp=sharing"",""แผน!KE69"")"),1)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x14ac:dyDescent="0.3">
      <c r="A253" s="281"/>
      <c r="B253" s="282"/>
      <c r="C253" s="283" t="s">
        <v>269</v>
      </c>
      <c r="D253" s="284"/>
      <c r="E253" s="284"/>
      <c r="F253" s="284"/>
      <c r="G253" s="285"/>
      <c r="H253" s="286" t="s">
        <v>33</v>
      </c>
      <c r="I253" s="287">
        <f ca="1">I260</f>
        <v>40</v>
      </c>
      <c r="J253" s="287">
        <f>J260</f>
        <v>0</v>
      </c>
      <c r="K253" s="288">
        <f ca="1">IF(I253&gt;0,J253*100/I253,0)</f>
        <v>0</v>
      </c>
      <c r="L253" s="289"/>
      <c r="M253" s="289"/>
      <c r="N253" s="289"/>
      <c r="O253" s="289"/>
      <c r="P253" s="289"/>
    </row>
    <row r="254" spans="1:16" ht="19.5" x14ac:dyDescent="0.3">
      <c r="A254" s="157"/>
      <c r="B254" s="53"/>
      <c r="C254" s="158" t="s">
        <v>16</v>
      </c>
      <c r="D254" s="601" t="s">
        <v>17</v>
      </c>
      <c r="E254" s="53"/>
      <c r="F254" s="53"/>
      <c r="G254" s="55"/>
      <c r="H254" s="291" t="s">
        <v>12</v>
      </c>
      <c r="I254" s="164"/>
      <c r="J254" s="164"/>
      <c r="K254" s="165"/>
      <c r="L254" s="161">
        <f ca="1">L255+L256+L257+L258</f>
        <v>72200</v>
      </c>
      <c r="M254" s="58"/>
      <c r="N254" s="161">
        <f>N255+N256+N257+N258</f>
        <v>0</v>
      </c>
      <c r="O254" s="161">
        <f ca="1">IF(L254&gt;0,N254*100/L254,0)</f>
        <v>0</v>
      </c>
      <c r="P254" s="161">
        <f>IF(M254&gt;0,N254*100/M254,0)</f>
        <v>0</v>
      </c>
    </row>
    <row r="255" spans="1:16" ht="18.75" x14ac:dyDescent="0.25">
      <c r="A255" s="157"/>
      <c r="B255" s="280"/>
      <c r="C255" s="53"/>
      <c r="D255" s="814" t="s">
        <v>152</v>
      </c>
      <c r="E255" s="53"/>
      <c r="F255" s="53"/>
      <c r="G255" s="55"/>
      <c r="H255" s="163" t="s">
        <v>12</v>
      </c>
      <c r="I255" s="164"/>
      <c r="J255" s="164"/>
      <c r="K255" s="165"/>
      <c r="L255" s="61">
        <f ca="1">IFERROR(__xludf.DUMMYFUNCTION("IMPORTRANGE(""https://docs.google.com/spreadsheets/d/1eHaY18a8A9IcSdp1K8H6x8fbOy06t2VsZHhMHf-1x7Y/edit?usp=sharing"",""แผน!BB69"")"),5000)</f>
        <v>5000</v>
      </c>
      <c r="M255" s="58"/>
      <c r="N255" s="600">
        <v>0</v>
      </c>
      <c r="O255" s="58"/>
      <c r="P255" s="58"/>
    </row>
    <row r="256" spans="1:16" ht="18.75" x14ac:dyDescent="0.25">
      <c r="A256" s="276"/>
      <c r="B256" s="280"/>
      <c r="C256" s="280"/>
      <c r="D256" s="729" t="s">
        <v>81</v>
      </c>
      <c r="E256" s="53"/>
      <c r="F256" s="53"/>
      <c r="G256" s="55"/>
      <c r="H256" s="163" t="s">
        <v>12</v>
      </c>
      <c r="I256" s="57"/>
      <c r="J256" s="57"/>
      <c r="K256" s="58"/>
      <c r="L256" s="61">
        <f ca="1">IFERROR(__xludf.DUMMYFUNCTION("IMPORTRANGE(""https://docs.google.com/spreadsheets/d/1eHaY18a8A9IcSdp1K8H6x8fbOy06t2VsZHhMHf-1x7Y/edit?usp=sharing"",""แผน!BC69"")"),3000)</f>
        <v>3000</v>
      </c>
      <c r="M256" s="58"/>
      <c r="N256" s="600">
        <v>0</v>
      </c>
      <c r="O256" s="58"/>
      <c r="P256" s="58"/>
    </row>
    <row r="257" spans="1:16" ht="18.75" x14ac:dyDescent="0.25">
      <c r="A257" s="276"/>
      <c r="B257" s="280"/>
      <c r="C257" s="280"/>
      <c r="D257" s="729" t="s">
        <v>82</v>
      </c>
      <c r="E257" s="53"/>
      <c r="F257" s="53"/>
      <c r="G257" s="55"/>
      <c r="H257" s="163" t="s">
        <v>12</v>
      </c>
      <c r="I257" s="57"/>
      <c r="J257" s="57"/>
      <c r="K257" s="58"/>
      <c r="L257" s="61">
        <f ca="1">IFERROR(__xludf.DUMMYFUNCTION("IMPORTRANGE(""https://docs.google.com/spreadsheets/d/1eHaY18a8A9IcSdp1K8H6x8fbOy06t2VsZHhMHf-1x7Y/edit?usp=sharing"",""แผน!BD69"")"),31200)</f>
        <v>31200</v>
      </c>
      <c r="M257" s="58"/>
      <c r="N257" s="600">
        <v>0</v>
      </c>
      <c r="O257" s="58"/>
      <c r="P257" s="58"/>
    </row>
    <row r="258" spans="1:16" ht="18.75" x14ac:dyDescent="0.25">
      <c r="A258" s="276"/>
      <c r="B258" s="280"/>
      <c r="C258" s="280"/>
      <c r="D258" s="295" t="s">
        <v>83</v>
      </c>
      <c r="E258" s="53"/>
      <c r="F258" s="53"/>
      <c r="G258" s="55"/>
      <c r="H258" s="163" t="s">
        <v>12</v>
      </c>
      <c r="I258" s="57"/>
      <c r="J258" s="57"/>
      <c r="K258" s="58"/>
      <c r="L258" s="61">
        <f ca="1">IFERROR(__xludf.DUMMYFUNCTION("IMPORTRANGE(""https://docs.google.com/spreadsheets/d/1eHaY18a8A9IcSdp1K8H6x8fbOy06t2VsZHhMHf-1x7Y/edit?usp=sharing"",""แผน!BE69"")"),33000)</f>
        <v>33000</v>
      </c>
      <c r="M258" s="58"/>
      <c r="N258" s="600">
        <v>0</v>
      </c>
      <c r="O258" s="58"/>
      <c r="P258" s="58"/>
    </row>
    <row r="259" spans="1:16" ht="19.5" x14ac:dyDescent="0.3">
      <c r="A259" s="167"/>
      <c r="B259" s="168"/>
      <c r="C259" s="298" t="s">
        <v>16</v>
      </c>
      <c r="D259" s="551" t="s">
        <v>36</v>
      </c>
      <c r="E259" s="170"/>
      <c r="F259" s="170"/>
      <c r="G259" s="171"/>
      <c r="H259" s="172"/>
      <c r="I259" s="164"/>
      <c r="J259" s="57"/>
      <c r="K259" s="58"/>
      <c r="L259" s="58"/>
      <c r="M259" s="58"/>
      <c r="N259" s="58"/>
      <c r="O259" s="165"/>
      <c r="P259" s="165"/>
    </row>
    <row r="260" spans="1:16" ht="18.75" x14ac:dyDescent="0.25">
      <c r="A260" s="167"/>
      <c r="B260" s="168"/>
      <c r="C260" s="168"/>
      <c r="D260" s="195" t="s">
        <v>102</v>
      </c>
      <c r="E260" s="174"/>
      <c r="F260" s="174"/>
      <c r="G260" s="172"/>
      <c r="H260" s="297" t="s">
        <v>33</v>
      </c>
      <c r="I260" s="196">
        <f ca="1">IFERROR(__xludf.DUMMYFUNCTION("IMPORTRANGE(""https://docs.google.com/spreadsheets/d/1eHaY18a8A9IcSdp1K8H6x8fbOy06t2VsZHhMHf-1x7Y/edit?usp=sharing"",""แผน!BH69"")"),40)</f>
        <v>40</v>
      </c>
      <c r="J260" s="558">
        <v>0</v>
      </c>
      <c r="K260" s="61">
        <f ca="1">IF(I260&gt;0,J260*100/I260,0)</f>
        <v>0</v>
      </c>
      <c r="L260" s="58"/>
      <c r="M260" s="58"/>
      <c r="N260" s="58"/>
      <c r="O260" s="58"/>
      <c r="P260" s="58"/>
    </row>
    <row r="261" spans="1:16" ht="18.75" x14ac:dyDescent="0.25">
      <c r="A261" s="167"/>
      <c r="B261" s="168"/>
      <c r="C261" s="168"/>
      <c r="D261" s="308" t="s">
        <v>41</v>
      </c>
      <c r="E261" s="174"/>
      <c r="F261" s="174"/>
      <c r="G261" s="172"/>
      <c r="H261" s="172"/>
      <c r="I261" s="57"/>
      <c r="J261" s="57"/>
      <c r="K261" s="58"/>
      <c r="L261" s="58"/>
      <c r="M261" s="58"/>
      <c r="N261" s="58"/>
      <c r="O261" s="165"/>
      <c r="P261" s="165"/>
    </row>
    <row r="262" spans="1:16" ht="18.75" x14ac:dyDescent="0.25">
      <c r="A262" s="167"/>
      <c r="B262" s="168"/>
      <c r="C262" s="168"/>
      <c r="D262" s="168"/>
      <c r="E262" s="449" t="s">
        <v>103</v>
      </c>
      <c r="F262" s="174"/>
      <c r="G262" s="172"/>
      <c r="H262" s="297" t="s">
        <v>33</v>
      </c>
      <c r="I262" s="196">
        <f ca="1">IFERROR(__xludf.DUMMYFUNCTION("IMPORTRANGE(""https://docs.google.com/spreadsheets/d/1eHaY18a8A9IcSdp1K8H6x8fbOy06t2VsZHhMHf-1x7Y/edit?usp=sharing"",""แผน!KF69"")"),40)</f>
        <v>40</v>
      </c>
      <c r="J262" s="558">
        <v>0</v>
      </c>
      <c r="K262" s="61">
        <f ca="1">IF(I262&gt;0,J262*100/I262,0)</f>
        <v>0</v>
      </c>
      <c r="L262" s="58"/>
      <c r="M262" s="58"/>
      <c r="N262" s="58"/>
      <c r="O262" s="58"/>
      <c r="P262" s="58"/>
    </row>
    <row r="263" spans="1:16" ht="18.75" x14ac:dyDescent="0.25">
      <c r="A263" s="167"/>
      <c r="B263" s="168"/>
      <c r="C263" s="168"/>
      <c r="D263" s="168"/>
      <c r="E263" s="449" t="s">
        <v>104</v>
      </c>
      <c r="F263" s="174"/>
      <c r="G263" s="172"/>
      <c r="H263" s="297" t="s">
        <v>54</v>
      </c>
      <c r="I263" s="196">
        <f ca="1">IFERROR(__xludf.DUMMYFUNCTION("IMPORTRANGE(""https://docs.google.com/spreadsheets/d/1eHaY18a8A9IcSdp1K8H6x8fbOy06t2VsZHhMHf-1x7Y/edit?usp=sharing"",""แผน!KG69"")"),1)</f>
        <v>1</v>
      </c>
      <c r="J263" s="558">
        <v>0</v>
      </c>
      <c r="K263" s="61">
        <f ca="1">IF(I263&gt;0,J263*100/I263,0)</f>
        <v>0</v>
      </c>
      <c r="L263" s="58"/>
      <c r="M263" s="58"/>
      <c r="N263" s="58"/>
      <c r="O263" s="58"/>
      <c r="P263" s="58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IFERROR(__xludf.DUMMYFUNCTION("IMPORTRANGE(""https://docs.google.com/spreadsheets/d/1-uDff_7J0KD5mKrp0Vvzr7lt3OU09vwQwhkpOPPYv2Y/edit?usp=sharing"",""งบพรบ!DE69"")"),0)</f>
        <v>0</v>
      </c>
      <c r="M271" s="502">
        <f ca="1">IFERROR(__xludf.DUMMYFUNCTION("IMPORTRANGE(""https://docs.google.com/spreadsheets/d/1-uDff_7J0KD5mKrp0Vvzr7lt3OU09vwQwhkpOPPYv2Y/edit?usp=sharing"",""งบพรบ!DJ69"")"),0)</f>
        <v>0</v>
      </c>
      <c r="N271" s="502">
        <f ca="1">IFERROR(__xludf.DUMMYFUNCTION("IMPORTRANGE(""https://docs.google.com/spreadsheets/d/1-uDff_7J0KD5mKrp0Vvzr7lt3OU09vwQwhkpOPPYv2Y/edit?usp=sharing"",""งบพรบ!DL69"")"),0)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IFERROR(__xludf.DUMMYFUNCTION("IMPORTRANGE(""https://docs.google.com/spreadsheets/d/1-uDff_7J0KD5mKrp0Vvzr7lt3OU09vwQwhkpOPPYv2Y/edit?usp=sharing"",""งบพรบ!DH69"")"),0)</f>
        <v>0</v>
      </c>
      <c r="M274" s="502">
        <f ca="1">IFERROR(__xludf.DUMMYFUNCTION("IMPORTRANGE(""https://docs.google.com/spreadsheets/d/1-uDff_7J0KD5mKrp0Vvzr7lt3OU09vwQwhkpOPPYv2Y/edit?usp=sharing"",""งบพรบ!DK69"")"),0)</f>
        <v>0</v>
      </c>
      <c r="N274" s="502">
        <f ca="1">IFERROR(__xludf.DUMMYFUNCTION("IMPORTRANGE(""https://docs.google.com/spreadsheets/d/1-uDff_7J0KD5mKrp0Vvzr7lt3OU09vwQwhkpOPPYv2Y/edit?usp=sharing"",""งบพรบ!DM69"")"),0)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IFERROR(__xludf.DUMMYFUNCTION("IMPORTRANGE(""https://docs.google.com/spreadsheets/d/1-uDff_7J0KD5mKrp0Vvzr7lt3OU09vwQwhkpOPPYv2Y/edit?usp=sharing"",""งบพรบ!DO69"")"),0)</f>
        <v>0</v>
      </c>
      <c r="M287" s="427">
        <f ca="1">IFERROR(__xludf.DUMMYFUNCTION("IMPORTRANGE(""https://docs.google.com/spreadsheets/d/1-uDff_7J0KD5mKrp0Vvzr7lt3OU09vwQwhkpOPPYv2Y/edit?usp=sharing"",""งบพรบ!DT69"")"),0)</f>
        <v>0</v>
      </c>
      <c r="N287" s="427">
        <f ca="1">IFERROR(__xludf.DUMMYFUNCTION("IMPORTRANGE(""https://docs.google.com/spreadsheets/d/1-uDff_7J0KD5mKrp0Vvzr7lt3OU09vwQwhkpOPPYv2Y/edit?usp=sharing"",""งบพรบ!DV69"")"),0)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IFERROR(__xludf.DUMMYFUNCTION("IMPORTRANGE(""https://docs.google.com/spreadsheets/d/1-uDff_7J0KD5mKrp0Vvzr7lt3OU09vwQwhkpOPPYv2Y/edit?usp=sharing"",""งบพรบ!DR69"")"),0)</f>
        <v>0</v>
      </c>
      <c r="M290" s="427">
        <f ca="1">IFERROR(__xludf.DUMMYFUNCTION("IMPORTRANGE(""https://docs.google.com/spreadsheets/d/1-uDff_7J0KD5mKrp0Vvzr7lt3OU09vwQwhkpOPPYv2Y/edit?usp=sharing"",""งบพรบ!DU69"")"),0)</f>
        <v>0</v>
      </c>
      <c r="N290" s="427">
        <f ca="1">IFERROR(__xludf.DUMMYFUNCTION("IMPORTRANGE(""https://docs.google.com/spreadsheets/d/1-uDff_7J0KD5mKrp0Vvzr7lt3OU09vwQwhkpOPPYv2Y/edit?usp=sharing"",""งบพรบ!DW69"")"),0)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IFERROR(__xludf.DUMMYFUNCTION("IMPORTRANGE(""https://docs.google.com/spreadsheets/d/1eHaY18a8A9IcSdp1K8H6x8fbOy06t2VsZHhMHf-1x7Y/edit?usp=sharing"",""แผน!EE69"")"),0)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IFERROR(__xludf.DUMMYFUNCTION("IMPORTRANGE(""https://docs.google.com/spreadsheets/d/1eHaY18a8A9IcSdp1K8H6x8fbOy06t2VsZHhMHf-1x7Y/edit?usp=sharing"",""แผน!ED69"")"),0)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IFERROR(__xludf.DUMMYFUNCTION("IMPORTRANGE(""https://docs.google.com/spreadsheets/d/1eHaY18a8A9IcSdp1K8H6x8fbOy06t2VsZHhMHf-1x7Y/edit?usp=sharing"",""แผน!ED69"")"),0)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IFERROR(__xludf.DUMMYFUNCTION("IMPORTRANGE(""https://docs.google.com/spreadsheets/d/1eHaY18a8A9IcSdp1K8H6x8fbOy06t2VsZHhMHf-1x7Y/edit?usp=sharing"",""แผน!ED69"")"),0)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IFERROR(__xludf.DUMMYFUNCTION("IMPORTRANGE(""https://docs.google.com/spreadsheets/d/1-uDff_7J0KD5mKrp0Vvzr7lt3OU09vwQwhkpOPPYv2Y/edit?usp=sharing"",""งบพรบ!DY69"")"),0)</f>
        <v>0</v>
      </c>
      <c r="M308" s="427">
        <f ca="1">IFERROR(__xludf.DUMMYFUNCTION("IMPORTRANGE(""https://docs.google.com/spreadsheets/d/1-uDff_7J0KD5mKrp0Vvzr7lt3OU09vwQwhkpOPPYv2Y/edit?usp=sharing"",""งบพรบ!ED69"")"),0)</f>
        <v>0</v>
      </c>
      <c r="N308" s="427">
        <f ca="1">IFERROR(__xludf.DUMMYFUNCTION("IMPORTRANGE(""https://docs.google.com/spreadsheets/d/1-uDff_7J0KD5mKrp0Vvzr7lt3OU09vwQwhkpOPPYv2Y/edit?usp=sharing"",""งบพรบ!EF69"")"),0)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IFERROR(__xludf.DUMMYFUNCTION("IMPORTRANGE(""https://docs.google.com/spreadsheets/d/1-uDff_7J0KD5mKrp0Vvzr7lt3OU09vwQwhkpOPPYv2Y/edit?usp=sharing"",""งบพรบ!EB69"")"),0)</f>
        <v>0</v>
      </c>
      <c r="M311" s="427">
        <f ca="1">IFERROR(__xludf.DUMMYFUNCTION("IMPORTRANGE(""https://docs.google.com/spreadsheets/d/1-uDff_7J0KD5mKrp0Vvzr7lt3OU09vwQwhkpOPPYv2Y/edit?usp=sharing"",""งบพรบ!EE69"")"),0)</f>
        <v>0</v>
      </c>
      <c r="N311" s="427">
        <f ca="1">IFERROR(__xludf.DUMMYFUNCTION("IMPORTRANGE(""https://docs.google.com/spreadsheets/d/1-uDff_7J0KD5mKrp0Vvzr7lt3OU09vwQwhkpOPPYv2Y/edit?usp=sharing"",""งบพรบ!EG69"")"),0)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IFERROR(__xludf.DUMMYFUNCTION("IMPORTRANGE(""https://docs.google.com/spreadsheets/d/1eHaY18a8A9IcSdp1K8H6x8fbOy06t2VsZHhMHf-1x7Y/edit?usp=sharing"",""แผน!EF69"")"),0)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IFERROR(__xludf.DUMMYFUNCTION("IMPORTRANGE(""https://docs.google.com/spreadsheets/d/1eHaY18a8A9IcSdp1K8H6x8fbOy06t2VsZHhMHf-1x7Y/edit?usp=sharing"",""แผน!EG69"")"),0)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IFERROR(__xludf.DUMMYFUNCTION("IMPORTRANGE(""https://docs.google.com/spreadsheets/d/1eHaY18a8A9IcSdp1K8H6x8fbOy06t2VsZHhMHf-1x7Y/edit?usp=sharing"",""แผน!EH69"")"),0)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IFERROR(__xludf.DUMMYFUNCTION("IMPORTRANGE(""https://docs.google.com/spreadsheets/d/1eHaY18a8A9IcSdp1K8H6x8fbOy06t2VsZHhMHf-1x7Y/edit?usp=sharing"",""แผน!EI69"")"),0)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1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40000</v>
      </c>
      <c r="M320" s="715">
        <f ca="1">M321+M322</f>
        <v>40000</v>
      </c>
      <c r="N320" s="715">
        <f ca="1">N321+N322</f>
        <v>1960</v>
      </c>
      <c r="O320" s="715">
        <f t="shared" ref="O320:O328" ca="1" si="42">IF(L320&gt;0,N320*100/L320,0)</f>
        <v>4.9000000000000004</v>
      </c>
      <c r="P320" s="715">
        <f t="shared" ref="P320:P328" ca="1" si="43">IF(M320&gt;0,N320*100/M320,0)</f>
        <v>4.9000000000000004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40000</v>
      </c>
      <c r="M322" s="427">
        <f t="shared" ca="1" si="44"/>
        <v>40000</v>
      </c>
      <c r="N322" s="427">
        <f t="shared" ca="1" si="44"/>
        <v>1960</v>
      </c>
      <c r="O322" s="427">
        <f t="shared" ca="1" si="42"/>
        <v>4.9000000000000004</v>
      </c>
      <c r="P322" s="427">
        <f t="shared" ca="1" si="43"/>
        <v>4.9000000000000004</v>
      </c>
    </row>
    <row r="323" spans="1:16" ht="18.75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40000</v>
      </c>
      <c r="M323" s="427">
        <f ca="1">M324+M325</f>
        <v>40000</v>
      </c>
      <c r="N323" s="427">
        <f ca="1">N324+N325</f>
        <v>1960</v>
      </c>
      <c r="O323" s="427">
        <f t="shared" ca="1" si="42"/>
        <v>4.9000000000000004</v>
      </c>
      <c r="P323" s="427">
        <f t="shared" ca="1" si="43"/>
        <v>4.9000000000000004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IFERROR(__xludf.DUMMYFUNCTION("IMPORTRANGE(""https://docs.google.com/spreadsheets/d/1-uDff_7J0KD5mKrp0Vvzr7lt3OU09vwQwhkpOPPYv2Y/edit?usp=sharing"",""งบพรบ!EI69"")"),40000)</f>
        <v>40000</v>
      </c>
      <c r="M325" s="427">
        <f ca="1">IFERROR(__xludf.DUMMYFUNCTION("IMPORTRANGE(""https://docs.google.com/spreadsheets/d/1-uDff_7J0KD5mKrp0Vvzr7lt3OU09vwQwhkpOPPYv2Y/edit?usp=sharing"",""งบพรบ!EN69"")"),40000)</f>
        <v>40000</v>
      </c>
      <c r="N325" s="427">
        <f ca="1">IFERROR(__xludf.DUMMYFUNCTION("IMPORTRANGE(""https://docs.google.com/spreadsheets/d/1-uDff_7J0KD5mKrp0Vvzr7lt3OU09vwQwhkpOPPYv2Y/edit?usp=sharing"",""งบพรบ!EP69"")"),1960)</f>
        <v>1960</v>
      </c>
      <c r="O325" s="427">
        <f t="shared" ca="1" si="42"/>
        <v>4.9000000000000004</v>
      </c>
      <c r="P325" s="427">
        <f t="shared" ca="1" si="43"/>
        <v>4.9000000000000004</v>
      </c>
    </row>
    <row r="326" spans="1:16" ht="18.75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IFERROR(__xludf.DUMMYFUNCTION("IMPORTRANGE(""https://docs.google.com/spreadsheets/d/1-uDff_7J0KD5mKrp0Vvzr7lt3OU09vwQwhkpOPPYv2Y/edit?usp=sharing"",""งบพรบ!EL69"")"),0)</f>
        <v>0</v>
      </c>
      <c r="M328" s="427">
        <f ca="1">IFERROR(__xludf.DUMMYFUNCTION("IMPORTRANGE(""https://docs.google.com/spreadsheets/d/1-uDff_7J0KD5mKrp0Vvzr7lt3OU09vwQwhkpOPPYv2Y/edit?usp=sharing"",""งบพรบ!EO69"")"),0)</f>
        <v>0</v>
      </c>
      <c r="N328" s="427">
        <f ca="1">IFERROR(__xludf.DUMMYFUNCTION("IMPORTRANGE(""https://docs.google.com/spreadsheets/d/1-uDff_7J0KD5mKrp0Vvzr7lt3OU09vwQwhkpOPPYv2Y/edit?usp=sharing"",""งบพรบ!EQ69"")"),0)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IFERROR(__xludf.DUMMYFUNCTION("IMPORTRANGE(""https://docs.google.com/spreadsheets/d/1eHaY18a8A9IcSdp1K8H6x8fbOy06t2VsZHhMHf-1x7Y/edit?usp=sharing"",""แผน!EJ69"")"),1)</f>
        <v>1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3540</v>
      </c>
      <c r="J332" s="404">
        <f ca="1">J344+J347+J348+J349+J353</f>
        <v>7031</v>
      </c>
      <c r="K332" s="405">
        <f ca="1">IF(I332&gt;0,J332*100/I332,0)</f>
        <v>198.61581920903956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116000</v>
      </c>
      <c r="M333" s="715">
        <f ca="1">M334+M335</f>
        <v>90550</v>
      </c>
      <c r="N333" s="715">
        <f ca="1">N334+N335</f>
        <v>48160</v>
      </c>
      <c r="O333" s="715">
        <f t="shared" ref="O333:O341" ca="1" si="45">IF(L333&gt;0,N333*100/L333,0)</f>
        <v>41.517241379310342</v>
      </c>
      <c r="P333" s="715">
        <f t="shared" ref="P333:P341" ca="1" si="46">IF(M333&gt;0,N333*100/M333,0)</f>
        <v>53.186085035891772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116000</v>
      </c>
      <c r="M335" s="427">
        <f t="shared" ca="1" si="47"/>
        <v>90550</v>
      </c>
      <c r="N335" s="427">
        <f t="shared" ca="1" si="47"/>
        <v>48160</v>
      </c>
      <c r="O335" s="427">
        <f t="shared" ca="1" si="45"/>
        <v>41.517241379310342</v>
      </c>
      <c r="P335" s="427">
        <f t="shared" ca="1" si="46"/>
        <v>53.186085035891772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116000</v>
      </c>
      <c r="M336" s="427">
        <f ca="1">M337+M338</f>
        <v>90550</v>
      </c>
      <c r="N336" s="427">
        <f ca="1">N337+N338</f>
        <v>48160</v>
      </c>
      <c r="O336" s="427">
        <f t="shared" ca="1" si="45"/>
        <v>41.517241379310342</v>
      </c>
      <c r="P336" s="427">
        <f t="shared" ca="1" si="46"/>
        <v>53.186085035891772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IFERROR(__xludf.DUMMYFUNCTION("IMPORTRANGE(""https://docs.google.com/spreadsheets/d/1-uDff_7J0KD5mKrp0Vvzr7lt3OU09vwQwhkpOPPYv2Y/edit?usp=sharing"",""งบพรบ!ES69"")"),116000)</f>
        <v>116000</v>
      </c>
      <c r="M338" s="427">
        <f ca="1">IFERROR(__xludf.DUMMYFUNCTION("IMPORTRANGE(""https://docs.google.com/spreadsheets/d/1-uDff_7J0KD5mKrp0Vvzr7lt3OU09vwQwhkpOPPYv2Y/edit?usp=sharing"",""งบพรบ!EX69"")"),90550)</f>
        <v>90550</v>
      </c>
      <c r="N338" s="427">
        <f ca="1">IFERROR(__xludf.DUMMYFUNCTION("IMPORTRANGE(""https://docs.google.com/spreadsheets/d/1-uDff_7J0KD5mKrp0Vvzr7lt3OU09vwQwhkpOPPYv2Y/edit?usp=sharing"",""งบพรบ!EZ69"")"),48160)</f>
        <v>48160</v>
      </c>
      <c r="O338" s="427">
        <f t="shared" ca="1" si="45"/>
        <v>41.517241379310342</v>
      </c>
      <c r="P338" s="427">
        <f t="shared" ca="1" si="46"/>
        <v>53.186085035891772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IFERROR(__xludf.DUMMYFUNCTION("IMPORTRANGE(""https://docs.google.com/spreadsheets/d/1-uDff_7J0KD5mKrp0Vvzr7lt3OU09vwQwhkpOPPYv2Y/edit?usp=sharing"",""งบพรบ!EV69"")"),0)</f>
        <v>0</v>
      </c>
      <c r="M341" s="427">
        <f ca="1">IFERROR(__xludf.DUMMYFUNCTION("IMPORTRANGE(""https://docs.google.com/spreadsheets/d/1-uDff_7J0KD5mKrp0Vvzr7lt3OU09vwQwhkpOPPYv2Y/edit?usp=sharing"",""งบพรบ!EY69"")"),0)</f>
        <v>0</v>
      </c>
      <c r="N341" s="427">
        <f ca="1">IFERROR(__xludf.DUMMYFUNCTION("IMPORTRANGE(""https://docs.google.com/spreadsheets/d/1-uDff_7J0KD5mKrp0Vvzr7lt3OU09vwQwhkpOPPYv2Y/edit?usp=sharing"",""งบพรบ!FA69"")"),0)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3494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IFERROR(__xludf.DUMMYFUNCTION("IMPORTRANGE(""https://docs.google.com/spreadsheets/d/1eHaY18a8A9IcSdp1K8H6x8fbOy06t2VsZHhMHf-1x7Y/edit?usp=sharing"",""แผน!EK69"")"),3540)</f>
        <v>3540</v>
      </c>
      <c r="J344" s="426">
        <f ca="1">IFERROR(__xludf.DUMMYFUNCTION("IMPORTRANGE(""https://docs.google.com/spreadsheets/d/1awYsYK3VOup2i3Pq_Yjnu8DRu_mYwSBnCR2QPthd0rU/edit?usp=sharing"",""ศูนย์ยกเว้นโฉนด!D69"")"),3170)</f>
        <v>3170</v>
      </c>
      <c r="K344" s="427">
        <f ca="1">IF(I344&gt;0,J344*100/I344,0)</f>
        <v>89.548022598870062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IFERROR(__xludf.DUMMYFUNCTION("IMPORTRANGE(""https://docs.google.com/spreadsheets/d/1eHaY18a8A9IcSdp1K8H6x8fbOy06t2VsZHhMHf-1x7Y/edit?usp=sharing"",""แผน!EL69"")"),5)</f>
        <v>5</v>
      </c>
      <c r="J346" s="426">
        <f ca="1">IFERROR(__xludf.DUMMYFUNCTION("IMPORTRANGE(""https://docs.google.com/spreadsheets/d/1awYsYK3VOup2i3Pq_Yjnu8DRu_mYwSBnCR2QPthd0rU/edit?usp=sharing"",""ศูนย์รวม!E69"")"),5)</f>
        <v>5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IFERROR(__xludf.DUMMYFUNCTION("IMPORTRANGE(""https://docs.google.com/spreadsheets/d/1awYsYK3VOup2i3Pq_Yjnu8DRu_mYwSBnCR2QPthd0rU/edit?usp=sharing"",""ศูนย์ยกเว้นโฉนด!F69"")"),133)</f>
        <v>133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4459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IFERROR(__xludf.DUMMYFUNCTION("IMPORTRANGE(""https://docs.google.com/spreadsheets/d/1awYsYK3VOup2i3Pq_Yjnu8DRu_mYwSBnCR2QPthd0rU/edit?usp=sharing"",""โฉนดM3!G69"")"),922)</f>
        <v>922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IFERROR(__xludf.DUMMYFUNCTION("IMPORTRANGE(""https://docs.google.com/spreadsheets/d/1awYsYK3VOup2i3Pq_Yjnu8DRu_mYwSBnCR2QPthd0rU/edit?usp=sharing"",""โฉนดM3!H69"")"),3537)</f>
        <v>3537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693280</v>
      </c>
      <c r="M356" s="715">
        <f ca="1">M357+M358</f>
        <v>612080</v>
      </c>
      <c r="N356" s="715">
        <f ca="1">N357+N358</f>
        <v>152753.32999999999</v>
      </c>
      <c r="O356" s="715">
        <f t="shared" ref="O356:O364" ca="1" si="48">IF(L356&gt;0,N356*100/L356,0)</f>
        <v>22.033425167320562</v>
      </c>
      <c r="P356" s="715">
        <f t="shared" ref="P356:P364" ca="1" si="49">IF(M356&gt;0,N356*100/M356,0)</f>
        <v>24.956432165729968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693280</v>
      </c>
      <c r="M358" s="427">
        <f t="shared" ca="1" si="50"/>
        <v>612080</v>
      </c>
      <c r="N358" s="427">
        <f t="shared" ca="1" si="50"/>
        <v>152753.32999999999</v>
      </c>
      <c r="O358" s="427">
        <f t="shared" ca="1" si="48"/>
        <v>22.033425167320562</v>
      </c>
      <c r="P358" s="427">
        <f t="shared" ca="1" si="49"/>
        <v>24.956432165729968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693280</v>
      </c>
      <c r="M359" s="427">
        <f ca="1">M360+M361</f>
        <v>612080</v>
      </c>
      <c r="N359" s="427">
        <f ca="1">N360+N361</f>
        <v>152753.32999999999</v>
      </c>
      <c r="O359" s="427">
        <f t="shared" ca="1" si="48"/>
        <v>22.033425167320562</v>
      </c>
      <c r="P359" s="427">
        <f t="shared" ca="1" si="49"/>
        <v>24.956432165729968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IFERROR(__xludf.DUMMYFUNCTION("IMPORTRANGE(""https://docs.google.com/spreadsheets/d/1-uDff_7J0KD5mKrp0Vvzr7lt3OU09vwQwhkpOPPYv2Y/edit?usp=sharing"",""งบพรบ!FC69"")"),693280)</f>
        <v>693280</v>
      </c>
      <c r="M361" s="427">
        <f ca="1">IFERROR(__xludf.DUMMYFUNCTION("IMPORTRANGE(""https://docs.google.com/spreadsheets/d/1-uDff_7J0KD5mKrp0Vvzr7lt3OU09vwQwhkpOPPYv2Y/edit?usp=sharing"",""งบพรบ!FH69"")"),612080)</f>
        <v>612080</v>
      </c>
      <c r="N361" s="427">
        <f ca="1">IFERROR(__xludf.DUMMYFUNCTION("IMPORTRANGE(""https://docs.google.com/spreadsheets/d/1-uDff_7J0KD5mKrp0Vvzr7lt3OU09vwQwhkpOPPYv2Y/edit?usp=sharing"",""งบพรบ!FJ69"")"),152753.33)</f>
        <v>152753.32999999999</v>
      </c>
      <c r="O361" s="427">
        <f t="shared" ca="1" si="48"/>
        <v>22.033425167320562</v>
      </c>
      <c r="P361" s="427">
        <f t="shared" ca="1" si="49"/>
        <v>24.956432165729968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IFERROR(__xludf.DUMMYFUNCTION("IMPORTRANGE(""https://docs.google.com/spreadsheets/d/1-uDff_7J0KD5mKrp0Vvzr7lt3OU09vwQwhkpOPPYv2Y/edit?usp=sharing"",""งบพรบ!FF69"")"),0)</f>
        <v>0</v>
      </c>
      <c r="M364" s="427">
        <f ca="1">IFERROR(__xludf.DUMMYFUNCTION("IMPORTRANGE(""https://docs.google.com/spreadsheets/d/1-uDff_7J0KD5mKrp0Vvzr7lt3OU09vwQwhkpOPPYv2Y/edit?usp=sharing"",""งบพรบ!FI69"")"),0)</f>
        <v>0</v>
      </c>
      <c r="N364" s="427">
        <f ca="1">IFERROR(__xludf.DUMMYFUNCTION("IMPORTRANGE(""https://docs.google.com/spreadsheets/d/1-uDff_7J0KD5mKrp0Vvzr7lt3OU09vwQwhkpOPPYv2Y/edit?usp=sharing"",""งบพรบ!FK69"")"),0)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392</v>
      </c>
      <c r="J365" s="440">
        <f ca="1">J371</f>
        <v>1</v>
      </c>
      <c r="K365" s="441">
        <f ca="1">IF(I365&gt;0,J365*100/I365,0)</f>
        <v>0.25510204081632654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IFERROR(__xludf.DUMMYFUNCTION("IMPORTRANGE(""https://docs.google.com/spreadsheets/d/1tdoBKaGub7dwA3U6UFTqxio9LNnvDCQjHKmttSEBsFQ/edit?usp=sharing"",""จัดที่ดิน!AB69"")"),85)</f>
        <v>85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IFERROR(__xludf.DUMMYFUNCTION("IMPORTRANGE(""https://docs.google.com/spreadsheets/d/1eHaY18a8A9IcSdp1K8H6x8fbOy06t2VsZHhMHf-1x7Y/edit?usp=sharing"",""แผน!EW69"")"),3880)</f>
        <v>3880</v>
      </c>
      <c r="J368" s="704">
        <f ca="1">IFERROR(__xludf.DUMMYFUNCTION("IMPORTRANGE(""https://docs.google.com/spreadsheets/d/1tdoBKaGub7dwA3U6UFTqxio9LNnvDCQjHKmttSEBsFQ/edit?usp=sharing"",""จัดที่ดิน!AC69"")"),1202.51)</f>
        <v>1202.51</v>
      </c>
      <c r="K368" s="427">
        <f t="shared" ca="1" si="51"/>
        <v>30.992525773195876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IFERROR(__xludf.DUMMYFUNCTION("IMPORTRANGE(""https://docs.google.com/spreadsheets/d/1eHaY18a8A9IcSdp1K8H6x8fbOy06t2VsZHhMHf-1x7Y/edit?usp=sharing"",""แผน!EX69"")"),596)</f>
        <v>596</v>
      </c>
      <c r="J369" s="426">
        <f ca="1">IFERROR(__xludf.DUMMYFUNCTION("IMPORTRANGE(""https://docs.google.com/spreadsheets/d/1tdoBKaGub7dwA3U6UFTqxio9LNnvDCQjHKmttSEBsFQ/edit?usp=sharing"",""จัดที่ดิน!AD69"")"),81)</f>
        <v>81</v>
      </c>
      <c r="K369" s="427">
        <f t="shared" ca="1" si="51"/>
        <v>13.590604026845638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IFERROR(__xludf.DUMMYFUNCTION("IMPORTRANGE(""https://docs.google.com/spreadsheets/d/1tdoBKaGub7dwA3U6UFTqxio9LNnvDCQjHKmttSEBsFQ/edit?usp=sharing"",""จัดที่ดิน!AE69"")"),1311.1)</f>
        <v>1311.1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IFERROR(__xludf.DUMMYFUNCTION("IMPORTRANGE(""https://docs.google.com/spreadsheets/d/1eHaY18a8A9IcSdp1K8H6x8fbOy06t2VsZHhMHf-1x7Y/edit?usp=sharing"",""แผน!EY69"")"),392)</f>
        <v>392</v>
      </c>
      <c r="J371" s="426">
        <f ca="1">IFERROR(__xludf.DUMMYFUNCTION("IMPORTRANGE(""https://docs.google.com/spreadsheets/d/1tdoBKaGub7dwA3U6UFTqxio9LNnvDCQjHKmttSEBsFQ/edit?usp=sharing"",""จัดที่ดิน!AF69"")"),1)</f>
        <v>1</v>
      </c>
      <c r="K371" s="427">
        <f t="shared" ca="1" si="51"/>
        <v>0.25510204081632654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IFERROR(__xludf.DUMMYFUNCTION("IMPORTRANGE(""https://docs.google.com/spreadsheets/d/1tdoBKaGub7dwA3U6UFTqxio9LNnvDCQjHKmttSEBsFQ/edit?usp=sharing"",""จัดที่ดิน!AG69"")"),17.85)</f>
        <v>17.850000000000001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IFERROR(__xludf.DUMMYFUNCTION("IMPORTRANGE(""https://docs.google.com/spreadsheets/d/1-uDff_7J0KD5mKrp0Vvzr7lt3OU09vwQwhkpOPPYv2Y/edit?usp=sharing"",""งบพรบ!FM69"")"),0)</f>
        <v>0</v>
      </c>
      <c r="M382" s="502">
        <f ca="1">IFERROR(__xludf.DUMMYFUNCTION("IMPORTRANGE(""https://docs.google.com/spreadsheets/d/1-uDff_7J0KD5mKrp0Vvzr7lt3OU09vwQwhkpOPPYv2Y/edit?usp=sharing"",""งบพรบ!FR69"")"),0)</f>
        <v>0</v>
      </c>
      <c r="N382" s="502">
        <f ca="1">IFERROR(__xludf.DUMMYFUNCTION("IMPORTRANGE(""https://docs.google.com/spreadsheets/d/1-uDff_7J0KD5mKrp0Vvzr7lt3OU09vwQwhkpOPPYv2Y/edit?usp=sharing"",""งบพรบ!FT69"")"),0)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IFERROR(__xludf.DUMMYFUNCTION("IMPORTRANGE(""https://docs.google.com/spreadsheets/d/1-uDff_7J0KD5mKrp0Vvzr7lt3OU09vwQwhkpOPPYv2Y/edit?usp=sharing"",""งบพรบ!FP69"")"),0)</f>
        <v>0</v>
      </c>
      <c r="M385" s="502">
        <f ca="1">IFERROR(__xludf.DUMMYFUNCTION("IMPORTRANGE(""https://docs.google.com/spreadsheets/d/1-uDff_7J0KD5mKrp0Vvzr7lt3OU09vwQwhkpOPPYv2Y/edit?usp=sharing"",""งบพรบ!FS69"")"),0)</f>
        <v>0</v>
      </c>
      <c r="N385" s="502">
        <f ca="1">IFERROR(__xludf.DUMMYFUNCTION("IMPORTRANGE(""https://docs.google.com/spreadsheets/d/1-uDff_7J0KD5mKrp0Vvzr7lt3OU09vwQwhkpOPPYv2Y/edit?usp=sharing"",""งบพรบ!FU69"")"),0)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C48AA-CEB0-44D3-A538-49DB2EA77318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271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1591512</v>
      </c>
      <c r="M18" s="843">
        <f ca="1">M19+M20</f>
        <v>1288104</v>
      </c>
      <c r="N18" s="843">
        <f ca="1">N19+N20</f>
        <v>598797.81000000006</v>
      </c>
      <c r="O18" s="843">
        <f t="shared" ref="O18:O26" ca="1" si="0">IF(L18&gt;0,N18*100/L18,0)</f>
        <v>37.624460890021567</v>
      </c>
      <c r="P18" s="843">
        <f t="shared" ref="P18:P26" ca="1" si="1">IF(M18&gt;0,N18*100/M18,0)</f>
        <v>46.486759609472536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1591512</v>
      </c>
      <c r="M20" s="947">
        <f t="shared" ca="1" si="2"/>
        <v>1288104</v>
      </c>
      <c r="N20" s="947">
        <f t="shared" ca="1" si="2"/>
        <v>598797.81000000006</v>
      </c>
      <c r="O20" s="947">
        <f t="shared" ca="1" si="0"/>
        <v>37.624460890021567</v>
      </c>
      <c r="P20" s="947">
        <f t="shared" ca="1" si="1"/>
        <v>46.486759609472536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1591512</v>
      </c>
      <c r="M21" s="427">
        <f ca="1">M22+M23</f>
        <v>1288104</v>
      </c>
      <c r="N21" s="427">
        <f ca="1">N22+N23</f>
        <v>598797.81000000006</v>
      </c>
      <c r="O21" s="427">
        <f t="shared" ca="1" si="0"/>
        <v>37.624460890021567</v>
      </c>
      <c r="P21" s="427">
        <f t="shared" ca="1" si="1"/>
        <v>46.486759609472536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1591512</v>
      </c>
      <c r="M23" s="427">
        <f t="shared" ca="1" si="3"/>
        <v>1288104</v>
      </c>
      <c r="N23" s="427">
        <f t="shared" ca="1" si="3"/>
        <v>598797.81000000006</v>
      </c>
      <c r="O23" s="427">
        <f t="shared" ca="1" si="0"/>
        <v>37.624460890021567</v>
      </c>
      <c r="P23" s="427">
        <f t="shared" ca="1" si="1"/>
        <v>46.486759609472536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1591512</v>
      </c>
      <c r="M40" s="940">
        <f ca="1">M44+M59+M72+M94+M125+M139+M157+M173+M186+M266+M282+M303+M320+M333+M356</f>
        <v>1288104</v>
      </c>
      <c r="N40" s="940">
        <f ca="1">N44+N59+N72+N94+N125+N139+N157+N173+N186+N266+N282+N303+N320+N333+N356</f>
        <v>598797.81000000006</v>
      </c>
      <c r="O40" s="940">
        <f ca="1">IF(L40&gt;0,N40*100/L40,0)</f>
        <v>37.624460890021567</v>
      </c>
      <c r="P40" s="940">
        <f ca="1">IF(M40&gt;0,N40*100/M40,0)</f>
        <v>46.486759609472536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320492</v>
      </c>
      <c r="M44" s="925">
        <f ca="1">M45+M46</f>
        <v>326984</v>
      </c>
      <c r="N44" s="925">
        <f ca="1">N45+N46</f>
        <v>159565</v>
      </c>
      <c r="O44" s="925">
        <f t="shared" ref="O44:O52" ca="1" si="5">IF(L44&gt;0,N44*100/L44,0)</f>
        <v>49.787514196922231</v>
      </c>
      <c r="P44" s="925">
        <f t="shared" ref="P44:P52" ca="1" si="6">IF(M44&gt;0,N44*100/M44,0)</f>
        <v>48.79902380544614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320492</v>
      </c>
      <c r="M46" s="917">
        <f t="shared" ca="1" si="7"/>
        <v>326984</v>
      </c>
      <c r="N46" s="917">
        <f t="shared" ca="1" si="7"/>
        <v>159565</v>
      </c>
      <c r="O46" s="917">
        <f t="shared" ca="1" si="5"/>
        <v>49.787514196922231</v>
      </c>
      <c r="P46" s="917">
        <f t="shared" ca="1" si="6"/>
        <v>48.79902380544614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320492</v>
      </c>
      <c r="M47" s="427">
        <f ca="1">M48+M49</f>
        <v>326984</v>
      </c>
      <c r="N47" s="427">
        <f ca="1">N48+N49</f>
        <v>159565</v>
      </c>
      <c r="O47" s="427">
        <f t="shared" ca="1" si="5"/>
        <v>49.787514196922231</v>
      </c>
      <c r="P47" s="427">
        <f t="shared" ca="1" si="6"/>
        <v>48.79902380544614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IFERROR(__xludf.DUMMYFUNCTION("IMPORTRANGE(""https://docs.google.com/spreadsheets/d/1-uDff_7J0KD5mKrp0Vvzr7lt3OU09vwQwhkpOPPYv2Y/edit?usp=sharing"",""งบพรบ!P70"")"),320492)</f>
        <v>320492</v>
      </c>
      <c r="M49" s="427">
        <f ca="1">IFERROR(__xludf.DUMMYFUNCTION("IMPORTRANGE(""https://docs.google.com/spreadsheets/d/1-uDff_7J0KD5mKrp0Vvzr7lt3OU09vwQwhkpOPPYv2Y/edit?usp=sharing"",""งบพรบ!V70"")"),326984)</f>
        <v>326984</v>
      </c>
      <c r="N49" s="427">
        <f ca="1">IFERROR(__xludf.DUMMYFUNCTION("IMPORTRANGE(""https://docs.google.com/spreadsheets/d/1-uDff_7J0KD5mKrp0Vvzr7lt3OU09vwQwhkpOPPYv2Y/edit?usp=sharing"",""งบพรบ!Y70"")"),159565)</f>
        <v>159565</v>
      </c>
      <c r="O49" s="427">
        <f t="shared" ca="1" si="5"/>
        <v>49.787514196922231</v>
      </c>
      <c r="P49" s="427">
        <f t="shared" ca="1" si="6"/>
        <v>48.79902380544614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IFERROR(__xludf.DUMMYFUNCTION("IMPORTRANGE(""https://docs.google.com/spreadsheets/d/1-uDff_7J0KD5mKrp0Vvzr7lt3OU09vwQwhkpOPPYv2Y/edit?usp=sharing"",""งบพรบ!S70"")"),0)</f>
        <v>0</v>
      </c>
      <c r="M52" s="427">
        <f ca="1">IFERROR(__xludf.DUMMYFUNCTION("IMPORTRANGE(""https://docs.google.com/spreadsheets/d/1-uDff_7J0KD5mKrp0Vvzr7lt3OU09vwQwhkpOPPYv2Y/edit?usp=sharing"",""งบพรบ!W70"")"),0)</f>
        <v>0</v>
      </c>
      <c r="N52" s="427">
        <f ca="1">IFERROR(__xludf.DUMMYFUNCTION("IMPORTRANGE(""https://docs.google.com/spreadsheets/d/1-uDff_7J0KD5mKrp0Vvzr7lt3OU09vwQwhkpOPPYv2Y/edit?usp=sharing"",""งบพรบ!Z70"")"),0)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436200</v>
      </c>
      <c r="M59" s="899">
        <f ca="1">M60+M61</f>
        <v>329050</v>
      </c>
      <c r="N59" s="899">
        <f ca="1">N60+N61</f>
        <v>243158.81</v>
      </c>
      <c r="O59" s="899">
        <f t="shared" ref="O59:O67" ca="1" si="8">IF(L59&gt;0,N59*100/L59,0)</f>
        <v>55.74479825767996</v>
      </c>
      <c r="P59" s="899">
        <f t="shared" ref="P59:P67" ca="1" si="9">IF(M59&gt;0,N59*100/M59,0)</f>
        <v>73.89722230664033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436200</v>
      </c>
      <c r="M61" s="891">
        <f t="shared" ca="1" si="10"/>
        <v>329050</v>
      </c>
      <c r="N61" s="891">
        <f t="shared" ca="1" si="10"/>
        <v>243158.81</v>
      </c>
      <c r="O61" s="891">
        <f t="shared" ca="1" si="8"/>
        <v>55.74479825767996</v>
      </c>
      <c r="P61" s="891">
        <f t="shared" ca="1" si="9"/>
        <v>73.89722230664033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436200</v>
      </c>
      <c r="M62" s="427">
        <f ca="1">M63+M64</f>
        <v>329050</v>
      </c>
      <c r="N62" s="427">
        <f ca="1">N63+N64</f>
        <v>243158.81</v>
      </c>
      <c r="O62" s="427">
        <f t="shared" ca="1" si="8"/>
        <v>55.74479825767996</v>
      </c>
      <c r="P62" s="427">
        <f t="shared" ca="1" si="9"/>
        <v>73.89722230664033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IFERROR(__xludf.DUMMYFUNCTION("IMPORTRANGE(""https://docs.google.com/spreadsheets/d/1-uDff_7J0KD5mKrp0Vvzr7lt3OU09vwQwhkpOPPYv2Y/edit?usp=sharing"",""งบพรบ!AC70"")"),436200)</f>
        <v>436200</v>
      </c>
      <c r="M64" s="427">
        <f ca="1">IFERROR(__xludf.DUMMYFUNCTION("IMPORTRANGE(""https://docs.google.com/spreadsheets/d/1-uDff_7J0KD5mKrp0Vvzr7lt3OU09vwQwhkpOPPYv2Y/edit?usp=sharing"",""งบพรบ!AH70"")"),329050)</f>
        <v>329050</v>
      </c>
      <c r="N64" s="427">
        <f ca="1">IFERROR(__xludf.DUMMYFUNCTION("IMPORTRANGE(""https://docs.google.com/spreadsheets/d/1-uDff_7J0KD5mKrp0Vvzr7lt3OU09vwQwhkpOPPYv2Y/edit?usp=sharing"",""งบพรบ!AJ70"")"),243158.81)</f>
        <v>243158.81</v>
      </c>
      <c r="O64" s="427">
        <f t="shared" ca="1" si="8"/>
        <v>55.74479825767996</v>
      </c>
      <c r="P64" s="427">
        <f t="shared" ca="1" si="9"/>
        <v>73.89722230664033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IFERROR(__xludf.DUMMYFUNCTION("IMPORTRANGE(""https://docs.google.com/spreadsheets/d/1-uDff_7J0KD5mKrp0Vvzr7lt3OU09vwQwhkpOPPYv2Y/edit?usp=sharing"",""งบพรบ!AF70"")"),0)</f>
        <v>0</v>
      </c>
      <c r="M67" s="624">
        <f ca="1">IFERROR(__xludf.DUMMYFUNCTION("IMPORTRANGE(""https://docs.google.com/spreadsheets/d/1-uDff_7J0KD5mKrp0Vvzr7lt3OU09vwQwhkpOPPYv2Y/edit?usp=sharing"",""งบพรบ!AI70"")"),0)</f>
        <v>0</v>
      </c>
      <c r="N67" s="624">
        <f ca="1">IFERROR(__xludf.DUMMYFUNCTION("IMPORTRANGE(""https://docs.google.com/spreadsheets/d/1-uDff_7J0KD5mKrp0Vvzr7lt3OU09vwQwhkpOPPYv2Y/edit?usp=sharing"",""งบพรบ!AK70"")"),0)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IFERROR(__xludf.DUMMYFUNCTION("IMPORTRANGE(""https://docs.google.com/spreadsheets/d/1-uDff_7J0KD5mKrp0Vvzr7lt3OU09vwQwhkpOPPYv2Y/edit?usp=sharing"",""งบพรบ!AM70"")"),0)</f>
        <v>0</v>
      </c>
      <c r="M77" s="427">
        <f ca="1">IFERROR(__xludf.DUMMYFUNCTION("IMPORTRANGE(""https://docs.google.com/spreadsheets/d/1-uDff_7J0KD5mKrp0Vvzr7lt3OU09vwQwhkpOPPYv2Y/edit?usp=sharing"",""งบพรบ!AR70"")"),0)</f>
        <v>0</v>
      </c>
      <c r="N77" s="427">
        <f ca="1">IFERROR(__xludf.DUMMYFUNCTION("IMPORTRANGE(""https://docs.google.com/spreadsheets/d/1-uDff_7J0KD5mKrp0Vvzr7lt3OU09vwQwhkpOPPYv2Y/edit?usp=sharing"",""งบพรบ!AT70"")"),0)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IFERROR(__xludf.DUMMYFUNCTION("IMPORTRANGE(""https://docs.google.com/spreadsheets/d/1-uDff_7J0KD5mKrp0Vvzr7lt3OU09vwQwhkpOPPYv2Y/edit?usp=sharing"",""งบพรบ!AP70"")"),0)</f>
        <v>0</v>
      </c>
      <c r="M80" s="427">
        <f ca="1">IFERROR(__xludf.DUMMYFUNCTION("IMPORTRANGE(""https://docs.google.com/spreadsheets/d/1-uDff_7J0KD5mKrp0Vvzr7lt3OU09vwQwhkpOPPYv2Y/edit?usp=sharing"",""งบพรบ!AS70"")"),0)</f>
        <v>0</v>
      </c>
      <c r="N80" s="427">
        <f ca="1">IFERROR(__xludf.DUMMYFUNCTION("IMPORTRANGE(""https://docs.google.com/spreadsheets/d/1-uDff_7J0KD5mKrp0Vvzr7lt3OU09vwQwhkpOPPYv2Y/edit?usp=sharing"",""งบพรบ!AU70"")"),0)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IFERROR(__xludf.DUMMYFUNCTION("IMPORTRANGE(""https://docs.google.com/spreadsheets/d/1eHaY18a8A9IcSdp1K8H6x8fbOy06t2VsZHhMHf-1x7Y/edit?usp=sharing"",""แผน!H70"")"),0)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IFERROR(__xludf.DUMMYFUNCTION("IMPORTRANGE(""https://docs.google.com/spreadsheets/d/1eHaY18a8A9IcSdp1K8H6x8fbOy06t2VsZHhMHf-1x7Y/edit?usp=sharing"",""แผน!I70"")"),0)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IFERROR(__xludf.DUMMYFUNCTION("IMPORTRANGE(""https://docs.google.com/spreadsheets/d/1eHaY18a8A9IcSdp1K8H6x8fbOy06t2VsZHhMHf-1x7Y/edit?usp=sharing"",""แผน!F70"")"),0)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IFERROR(__xludf.DUMMYFUNCTION("IMPORTRANGE(""https://docs.google.com/spreadsheets/d/1eHaY18a8A9IcSdp1K8H6x8fbOy06t2VsZHhMHf-1x7Y/edit?usp=sharing"",""แผน!G70"")"),0)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IFERROR(__xludf.DUMMYFUNCTION("IMPORTRANGE(""https://docs.google.com/spreadsheets/d/1eHaY18a8A9IcSdp1K8H6x8fbOy06t2VsZHhMHf-1x7Y/edit?usp=sharing"",""แผน!D70"")"),0)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IFERROR(__xludf.DUMMYFUNCTION("IMPORTRANGE(""https://docs.google.com/spreadsheets/d/1eHaY18a8A9IcSdp1K8H6x8fbOy06t2VsZHhMHf-1x7Y/edit?usp=sharing"",""แผน!E70"")"),0)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IFERROR(__xludf.DUMMYFUNCTION("IMPORTRANGE(""https://docs.google.com/spreadsheets/d/1eHaY18a8A9IcSdp1K8H6x8fbOy06t2VsZHhMHf-1x7Y/edit?usp=sharing"",""แผน!J70"")"),0)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IFERROR(__xludf.DUMMYFUNCTION("IMPORTRANGE(""https://docs.google.com/spreadsheets/d/1-uDff_7J0KD5mKrp0Vvzr7lt3OU09vwQwhkpOPPYv2Y/edit?usp=sharing"",""งบพรบ!AW70"")"),0)</f>
        <v>0</v>
      </c>
      <c r="M99" s="427">
        <f ca="1">IFERROR(__xludf.DUMMYFUNCTION("IMPORTRANGE(""https://docs.google.com/spreadsheets/d/1-uDff_7J0KD5mKrp0Vvzr7lt3OU09vwQwhkpOPPYv2Y/edit?usp=sharing"",""งบพรบ!BB70"")"),0)</f>
        <v>0</v>
      </c>
      <c r="N99" s="427">
        <f ca="1">IFERROR(__xludf.DUMMYFUNCTION("IMPORTRANGE(""https://docs.google.com/spreadsheets/d/1-uDff_7J0KD5mKrp0Vvzr7lt3OU09vwQwhkpOPPYv2Y/edit?usp=sharing"",""งบพรบ!BD70"")"),0)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IFERROR(__xludf.DUMMYFUNCTION("IMPORTRANGE(""https://docs.google.com/spreadsheets/d/1-uDff_7J0KD5mKrp0Vvzr7lt3OU09vwQwhkpOPPYv2Y/edit?usp=sharing"",""งบพรบ!AZ70"")"),0)</f>
        <v>0</v>
      </c>
      <c r="M102" s="427">
        <f ca="1">IFERROR(__xludf.DUMMYFUNCTION("IMPORTRANGE(""https://docs.google.com/spreadsheets/d/1-uDff_7J0KD5mKrp0Vvzr7lt3OU09vwQwhkpOPPYv2Y/edit?usp=sharing"",""งบพรบ!BC70"")"),0)</f>
        <v>0</v>
      </c>
      <c r="N102" s="427">
        <f ca="1">IFERROR(__xludf.DUMMYFUNCTION("IMPORTRANGE(""https://docs.google.com/spreadsheets/d/1-uDff_7J0KD5mKrp0Vvzr7lt3OU09vwQwhkpOPPYv2Y/edit?usp=sharing"",""งบพรบ!BE70"")"),0)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IFERROR(__xludf.DUMMYFUNCTION("IMPORTRANGE(""https://docs.google.com/spreadsheets/d/1eHaY18a8A9IcSdp1K8H6x8fbOy06t2VsZHhMHf-1x7Y/edit?usp=sharing"",""แผน!N70"")"),0)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IFERROR(__xludf.DUMMYFUNCTION("IMPORTRANGE(""https://docs.google.com/spreadsheets/d/1eHaY18a8A9IcSdp1K8H6x8fbOy06t2VsZHhMHf-1x7Y/edit?usp=sharing"",""แผน!O70"")"),0)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IFERROR(__xludf.DUMMYFUNCTION("IMPORTRANGE(""https://docs.google.com/spreadsheets/d/1eHaY18a8A9IcSdp1K8H6x8fbOy06t2VsZHhMHf-1x7Y/edit?usp=sharing"",""แผน!R70"")"),0)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IFERROR(__xludf.DUMMYFUNCTION("IMPORTRANGE(""https://docs.google.com/spreadsheets/d/1-uDff_7J0KD5mKrp0Vvzr7lt3OU09vwQwhkpOPPYv2Y/edit?usp=sharing"",""งบพรบ!BG70"")"),0)</f>
        <v>0</v>
      </c>
      <c r="M130" s="864">
        <f ca="1">IFERROR(__xludf.DUMMYFUNCTION("IMPORTRANGE(""https://docs.google.com/spreadsheets/d/1-uDff_7J0KD5mKrp0Vvzr7lt3OU09vwQwhkpOPPYv2Y/edit?usp=sharing"",""งบพรบ!BL70"")"),0)</f>
        <v>0</v>
      </c>
      <c r="N130" s="864">
        <f ca="1">IFERROR(__xludf.DUMMYFUNCTION("IMPORTRANGE(""https://docs.google.com/spreadsheets/d/1-uDff_7J0KD5mKrp0Vvzr7lt3OU09vwQwhkpOPPYv2Y/edit?usp=sharing"",""งบพรบ!BN70"")"),0)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IFERROR(__xludf.DUMMYFUNCTION("IMPORTRANGE(""https://docs.google.com/spreadsheets/d/1-uDff_7J0KD5mKrp0Vvzr7lt3OU09vwQwhkpOPPYv2Y/edit?usp=sharing"",""งบพรบ!BJ70"")"),0)</f>
        <v>0</v>
      </c>
      <c r="M133" s="864">
        <f ca="1">IFERROR(__xludf.DUMMYFUNCTION("IMPORTRANGE(""https://docs.google.com/spreadsheets/d/1-uDff_7J0KD5mKrp0Vvzr7lt3OU09vwQwhkpOPPYv2Y/edit?usp=sharing"",""งบพรบ!BM70"")"),0)</f>
        <v>0</v>
      </c>
      <c r="N133" s="864">
        <f ca="1">IFERROR(__xludf.DUMMYFUNCTION("IMPORTRANGE(""https://docs.google.com/spreadsheets/d/1-uDff_7J0KD5mKrp0Vvzr7lt3OU09vwQwhkpOPPYv2Y/edit?usp=sharing"",""งบพรบ!BO70"")"),0)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10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1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98000</v>
      </c>
      <c r="M139" s="715">
        <f ca="1">M140+M141</f>
        <v>71800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98000</v>
      </c>
      <c r="M141" s="427">
        <f t="shared" ca="1" si="23"/>
        <v>71800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98000</v>
      </c>
      <c r="M142" s="427">
        <f ca="1">M143+M144</f>
        <v>71800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IFERROR(__xludf.DUMMYFUNCTION("IMPORTRANGE(""https://docs.google.com/spreadsheets/d/1-uDff_7J0KD5mKrp0Vvzr7lt3OU09vwQwhkpOPPYv2Y/edit?usp=sharing"",""งบพรบ!BQ70"")"),98000)</f>
        <v>98000</v>
      </c>
      <c r="M144" s="427">
        <f ca="1">IFERROR(__xludf.DUMMYFUNCTION("IMPORTRANGE(""https://docs.google.com/spreadsheets/d/1-uDff_7J0KD5mKrp0Vvzr7lt3OU09vwQwhkpOPPYv2Y/edit?usp=sharing"",""งบพรบ!BV70"")"),71800)</f>
        <v>71800</v>
      </c>
      <c r="N144" s="427">
        <f ca="1">IFERROR(__xludf.DUMMYFUNCTION("IMPORTRANGE(""https://docs.google.com/spreadsheets/d/1-uDff_7J0KD5mKrp0Vvzr7lt3OU09vwQwhkpOPPYv2Y/edit?usp=sharing"",""งบพรบ!BX70"")"),0)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IFERROR(__xludf.DUMMYFUNCTION("IMPORTRANGE(""https://docs.google.com/spreadsheets/d/1-uDff_7J0KD5mKrp0Vvzr7lt3OU09vwQwhkpOPPYv2Y/edit?usp=sharing"",""งบพรบ!BT70"")"),0)</f>
        <v>0</v>
      </c>
      <c r="M147" s="427">
        <f ca="1">IFERROR(__xludf.DUMMYFUNCTION("IMPORTRANGE(""https://docs.google.com/spreadsheets/d/1-uDff_7J0KD5mKrp0Vvzr7lt3OU09vwQwhkpOPPYv2Y/edit?usp=sharing"",""งบพรบ!BW70"")"),0)</f>
        <v>0</v>
      </c>
      <c r="N147" s="427">
        <f ca="1">IFERROR(__xludf.DUMMYFUNCTION("IMPORTRANGE(""https://docs.google.com/spreadsheets/d/1-uDff_7J0KD5mKrp0Vvzr7lt3OU09vwQwhkpOPPYv2Y/edit?usp=sharing"",""งบพรบ!BY70"")"),0)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IFERROR(__xludf.DUMMYFUNCTION("IMPORTRANGE(""https://docs.google.com/spreadsheets/d/1eHaY18a8A9IcSdp1K8H6x8fbOy06t2VsZHhMHf-1x7Y/edit?usp=sharing"",""แผน!U70"")"),0)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IFERROR(__xludf.DUMMYFUNCTION("IMPORTRANGE(""https://docs.google.com/spreadsheets/d/1eHaY18a8A9IcSdp1K8H6x8fbOy06t2VsZHhMHf-1x7Y/edit?usp=sharing"",""แผน!V70"")"),0)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IFERROR(__xludf.DUMMYFUNCTION("IMPORTRANGE(""https://docs.google.com/spreadsheets/d/1eHaY18a8A9IcSdp1K8H6x8fbOy06t2VsZHhMHf-1x7Y/edit?usp=sharing"",""แผน!W70"")"),10)</f>
        <v>10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IFERROR(__xludf.DUMMYFUNCTION("IMPORTRANGE(""https://docs.google.com/spreadsheets/d/1eHaY18a8A9IcSdp1K8H6x8fbOy06t2VsZHhMHf-1x7Y/edit?usp=sharing"",""แผน!X70"")"),1)</f>
        <v>1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IFERROR(__xludf.DUMMYFUNCTION("IMPORTRANGE(""https://docs.google.com/spreadsheets/d/1eHaY18a8A9IcSdp1K8H6x8fbOy06t2VsZHhMHf-1x7Y/edit?usp=sharing"",""แผน!Y70"")"),0)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15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4500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4500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4500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IFERROR(__xludf.DUMMYFUNCTION("IMPORTRANGE(""https://docs.google.com/spreadsheets/d/1-uDff_7J0KD5mKrp0Vvzr7lt3OU09vwQwhkpOPPYv2Y/edit?usp=sharing"",""งบพรบ!CA70"")"),4500)</f>
        <v>4500</v>
      </c>
      <c r="M162" s="427">
        <f ca="1">IFERROR(__xludf.DUMMYFUNCTION("IMPORTRANGE(""https://docs.google.com/spreadsheets/d/1-uDff_7J0KD5mKrp0Vvzr7lt3OU09vwQwhkpOPPYv2Y/edit?usp=sharing"",""งบพรบ!CF70"")"),0)</f>
        <v>0</v>
      </c>
      <c r="N162" s="427">
        <f ca="1">IFERROR(__xludf.DUMMYFUNCTION("IMPORTRANGE(""https://docs.google.com/spreadsheets/d/1-uDff_7J0KD5mKrp0Vvzr7lt3OU09vwQwhkpOPPYv2Y/edit?usp=sharing"",""งบพรบ!CH70"")"),0)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IFERROR(__xludf.DUMMYFUNCTION("IMPORTRANGE(""https://docs.google.com/spreadsheets/d/1-uDff_7J0KD5mKrp0Vvzr7lt3OU09vwQwhkpOPPYv2Y/edit?usp=sharing"",""งบพรบ!CD70"")"),0)</f>
        <v>0</v>
      </c>
      <c r="M165" s="427">
        <f ca="1">IFERROR(__xludf.DUMMYFUNCTION("IMPORTRANGE(""https://docs.google.com/spreadsheets/d/1-uDff_7J0KD5mKrp0Vvzr7lt3OU09vwQwhkpOPPYv2Y/edit?usp=sharing"",""งบพรบ!CG70"")"),0)</f>
        <v>0</v>
      </c>
      <c r="N165" s="427">
        <f ca="1">IFERROR(__xludf.DUMMYFUNCTION("IMPORTRANGE(""https://docs.google.com/spreadsheets/d/1-uDff_7J0KD5mKrp0Vvzr7lt3OU09vwQwhkpOPPYv2Y/edit?usp=sharing"",""งบพรบ!CI70"")"),0)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IFERROR(__xludf.DUMMYFUNCTION("IMPORTRANGE(""https://docs.google.com/spreadsheets/d/1eHaY18a8A9IcSdp1K8H6x8fbOy06t2VsZHhMHf-1x7Y/edit?usp=sharing"",""แผน!Z70"")"),15)</f>
        <v>15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15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15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IFERROR(__xludf.DUMMYFUNCTION("IMPORTRANGE(""https://docs.google.com/spreadsheets/d/1-uDff_7J0KD5mKrp0Vvzr7lt3OU09vwQwhkpOPPYv2Y/edit?usp=sharing"",""งบพรบ!CK70"")"),19590)</f>
        <v>19590</v>
      </c>
      <c r="M178" s="427">
        <f ca="1">IFERROR(__xludf.DUMMYFUNCTION("IMPORTRANGE(""https://docs.google.com/spreadsheets/d/1-uDff_7J0KD5mKrp0Vvzr7lt3OU09vwQwhkpOPPYv2Y/edit?usp=sharing"",""งบพรบ!CP70"")"),19590)</f>
        <v>19590</v>
      </c>
      <c r="N178" s="427">
        <f ca="1">IFERROR(__xludf.DUMMYFUNCTION("IMPORTRANGE(""https://docs.google.com/spreadsheets/d/1-uDff_7J0KD5mKrp0Vvzr7lt3OU09vwQwhkpOPPYv2Y/edit?usp=sharing"",""งบพรบ!CR70"")"),0)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IFERROR(__xludf.DUMMYFUNCTION("IMPORTRANGE(""https://docs.google.com/spreadsheets/d/1-uDff_7J0KD5mKrp0Vvzr7lt3OU09vwQwhkpOPPYv2Y/edit?usp=sharing"",""งบพรบ!CN70"")"),0)</f>
        <v>0</v>
      </c>
      <c r="M181" s="427">
        <f ca="1">IFERROR(__xludf.DUMMYFUNCTION("IMPORTRANGE(""https://docs.google.com/spreadsheets/d/1-uDff_7J0KD5mKrp0Vvzr7lt3OU09vwQwhkpOPPYv2Y/edit?usp=sharing"",""งบพรบ!CQ70"")"),0)</f>
        <v>0</v>
      </c>
      <c r="N181" s="427">
        <f ca="1">IFERROR(__xludf.DUMMYFUNCTION("IMPORTRANGE(""https://docs.google.com/spreadsheets/d/1-uDff_7J0KD5mKrp0Vvzr7lt3OU09vwQwhkpOPPYv2Y/edit?usp=sharing"",""งบพรบ!CS70"")"),0)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IFERROR(__xludf.DUMMYFUNCTION("IMPORTRANGE(""https://docs.google.com/spreadsheets/d/1eHaY18a8A9IcSdp1K8H6x8fbOy06t2VsZHhMHf-1x7Y/edit?usp=sharing"",""แผน!AA70"")"),7)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49500</v>
      </c>
      <c r="M186" s="715">
        <f ca="1">M187+M188</f>
        <v>31500</v>
      </c>
      <c r="N186" s="715">
        <f ca="1">N187+N188</f>
        <v>0</v>
      </c>
      <c r="O186" s="715">
        <f t="shared" ref="O186:O194" ca="1" si="30">IF(L186&gt;0,N186*100/L186,0)</f>
        <v>0</v>
      </c>
      <c r="P186" s="715">
        <f t="shared" ref="P186:P194" ca="1" si="31">IF(M186&gt;0,N186*100/M186,0)</f>
        <v>0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49500</v>
      </c>
      <c r="M188" s="427">
        <f t="shared" ca="1" si="32"/>
        <v>31500</v>
      </c>
      <c r="N188" s="427">
        <f t="shared" ca="1" si="32"/>
        <v>0</v>
      </c>
      <c r="O188" s="427">
        <f t="shared" ca="1" si="30"/>
        <v>0</v>
      </c>
      <c r="P188" s="427">
        <f t="shared" ca="1" si="31"/>
        <v>0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49500</v>
      </c>
      <c r="M189" s="427">
        <f ca="1">M190+M191</f>
        <v>31500</v>
      </c>
      <c r="N189" s="427">
        <f ca="1">N190+N191</f>
        <v>0</v>
      </c>
      <c r="O189" s="427">
        <f t="shared" ca="1" si="30"/>
        <v>0</v>
      </c>
      <c r="P189" s="427">
        <f t="shared" ca="1" si="31"/>
        <v>0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IFERROR(__xludf.DUMMYFUNCTION("IMPORTRANGE(""https://docs.google.com/spreadsheets/d/1-uDff_7J0KD5mKrp0Vvzr7lt3OU09vwQwhkpOPPYv2Y/edit?usp=sharing"",""งบพรบ!CU70"")"),49500)</f>
        <v>49500</v>
      </c>
      <c r="M191" s="427">
        <f ca="1">IFERROR(__xludf.DUMMYFUNCTION("IMPORTRANGE(""https://docs.google.com/spreadsheets/d/1-uDff_7J0KD5mKrp0Vvzr7lt3OU09vwQwhkpOPPYv2Y/edit?usp=sharing"",""งบพรบ!CZ70"")"),31500)</f>
        <v>31500</v>
      </c>
      <c r="N191" s="427">
        <f ca="1">IFERROR(__xludf.DUMMYFUNCTION("IMPORTRANGE(""https://docs.google.com/spreadsheets/d/1-uDff_7J0KD5mKrp0Vvzr7lt3OU09vwQwhkpOPPYv2Y/edit?usp=sharing"",""งบพรบ!DB70"")"),0)</f>
        <v>0</v>
      </c>
      <c r="O191" s="427">
        <f t="shared" ca="1" si="30"/>
        <v>0</v>
      </c>
      <c r="P191" s="427">
        <f t="shared" ca="1" si="31"/>
        <v>0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IFERROR(__xludf.DUMMYFUNCTION("IMPORTRANGE(""https://docs.google.com/spreadsheets/d/1-uDff_7J0KD5mKrp0Vvzr7lt3OU09vwQwhkpOPPYv2Y/edit?usp=sharing"",""งบพรบ!CX70"")"),0)</f>
        <v>0</v>
      </c>
      <c r="M194" s="427">
        <f ca="1">IFERROR(__xludf.DUMMYFUNCTION("IMPORTRANGE(""https://docs.google.com/spreadsheets/d/1-uDff_7J0KD5mKrp0Vvzr7lt3OU09vwQwhkpOPPYv2Y/edit?usp=sharing"",""งบพรบ!DA70"")"),0)</f>
        <v>0</v>
      </c>
      <c r="N194" s="427">
        <f ca="1">IFERROR(__xludf.DUMMYFUNCTION("IMPORTRANGE(""https://docs.google.com/spreadsheets/d/1-uDff_7J0KD5mKrp0Vvzr7lt3OU09vwQwhkpOPPYv2Y/edit?usp=sharing"",""งบพรบ!DC70"")"),0)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IFERROR(__xludf.DUMMYFUNCTION("IMPORTRANGE(""https://docs.google.com/spreadsheets/d/1eHaY18a8A9IcSdp1K8H6x8fbOy06t2VsZHhMHf-1x7Y/edit?usp=sharing"",""แผน!AB70"")"),6000)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IFERROR(__xludf.DUMMYFUNCTION("IMPORTRANGE(""https://docs.google.com/spreadsheets/d/1eHaY18a8A9IcSdp1K8H6x8fbOy06t2VsZHhMHf-1x7Y/edit?usp=sharing"",""แผน!AE70"")"),4)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3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39000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IFERROR(__xludf.DUMMYFUNCTION("IMPORTRANGE(""https://docs.google.com/spreadsheets/d/1eHaY18a8A9IcSdp1K8H6x8fbOy06t2VsZHhMHf-1x7Y/edit?usp=sharing"",""แผน!AG70"")"),3000)</f>
        <v>3000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IFERROR(__xludf.DUMMYFUNCTION("IMPORTRANGE(""https://docs.google.com/spreadsheets/d/1eHaY18a8A9IcSdp1K8H6x8fbOy06t2VsZHhMHf-1x7Y/edit?usp=sharing"",""แผน!AH70"")"),0)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IFERROR(__xludf.DUMMYFUNCTION("IMPORTRANGE(""https://docs.google.com/spreadsheets/d/1eHaY18a8A9IcSdp1K8H6x8fbOy06t2VsZHhMHf-1x7Y/edit?usp=sharing"",""แผน!AI70"")"),24000)</f>
        <v>24000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IFERROR(__xludf.DUMMYFUNCTION("IMPORTRANGE(""https://docs.google.com/spreadsheets/d/1eHaY18a8A9IcSdp1K8H6x8fbOy06t2VsZHhMHf-1x7Y/edit?usp=sharing"",""แผน!AJ70"")"),12000)</f>
        <v>12000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IFERROR(__xludf.DUMMYFUNCTION("IMPORTRANGE(""https://docs.google.com/spreadsheets/d/1eHaY18a8A9IcSdp1K8H6x8fbOy06t2VsZHhMHf-1x7Y/edit?usp=sharing"",""แผน!AK70"")"),3)</f>
        <v>3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IFERROR(__xludf.DUMMYFUNCTION("IMPORTRANGE(""https://docs.google.com/spreadsheets/d/1eHaY18a8A9IcSdp1K8H6x8fbOy06t2VsZHhMHf-1x7Y/edit?usp=sharing"",""แผน!JX70"")"),3)</f>
        <v>3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IFERROR(__xludf.DUMMYFUNCTION("IMPORTRANGE(""https://docs.google.com/spreadsheets/d/1eHaY18a8A9IcSdp1K8H6x8fbOy06t2VsZHhMHf-1x7Y/edit?usp=sharing"",""แผน!JY70"")"),0)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IFERROR(__xludf.DUMMYFUNCTION("IMPORTRANGE(""https://docs.google.com/spreadsheets/d/1eHaY18a8A9IcSdp1K8H6x8fbOy06t2VsZHhMHf-1x7Y/edit?usp=sharing"",""แผน!AM70"")"),0)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IFERROR(__xludf.DUMMYFUNCTION("IMPORTRANGE(""https://docs.google.com/spreadsheets/d/1eHaY18a8A9IcSdp1K8H6x8fbOy06t2VsZHhMHf-1x7Y/edit?usp=sharing"",""แผน!AN70"")"),0)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IFERROR(__xludf.DUMMYFUNCTION("IMPORTRANGE(""https://docs.google.com/spreadsheets/d/1eHaY18a8A9IcSdp1K8H6x8fbOy06t2VsZHhMHf-1x7Y/edit?usp=sharing"",""แผน!AO70"")"),0)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IFERROR(__xludf.DUMMYFUNCTION("IMPORTRANGE(""https://docs.google.com/spreadsheets/d/1eHaY18a8A9IcSdp1K8H6x8fbOy06t2VsZHhMHf-1x7Y/edit?usp=sharing"",""แผน!AP70"")"),0)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IFERROR(__xludf.DUMMYFUNCTION("IMPORTRANGE(""https://docs.google.com/spreadsheets/d/1eHaY18a8A9IcSdp1K8H6x8fbOy06t2VsZHhMHf-1x7Y/edit?usp=sharing"",""แผน!AP70"")"),0)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IFERROR(__xludf.DUMMYFUNCTION("IMPORTRANGE(""https://docs.google.com/spreadsheets/d/1eHaY18a8A9IcSdp1K8H6x8fbOy06t2VsZHhMHf-1x7Y/edit?usp=sharing"",""แผน!AR70"")"),3000)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IFERROR(__xludf.DUMMYFUNCTION("IMPORTRANGE(""https://docs.google.com/spreadsheets/d/1eHaY18a8A9IcSdp1K8H6x8fbOy06t2VsZHhMHf-1x7Y/edit?usp=sharing"",""แผน!AS70"")"),1500)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IFERROR(__xludf.DUMMYFUNCTION("IMPORTRANGE(""https://docs.google.com/spreadsheets/d/1eHaY18a8A9IcSdp1K8H6x8fbOy06t2VsZHhMHf-1x7Y/edit?usp=sharing"",""แผน!AT70"")"),0)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IFERROR(__xludf.DUMMYFUNCTION("IMPORTRANGE(""https://docs.google.com/spreadsheets/d/1eHaY18a8A9IcSdp1K8H6x8fbOy06t2VsZHhMHf-1x7Y/edit?usp=sharing"",""แผน!AV70"")"),20000)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IFERROR(__xludf.DUMMYFUNCTION("IMPORTRANGE(""https://docs.google.com/spreadsheets/d/1eHaY18a8A9IcSdp1K8H6x8fbOy06t2VsZHhMHf-1x7Y/edit?usp=sharing"",""แผน!AV70"")"),20000)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IFERROR(__xludf.DUMMYFUNCTION("IMPORTRANGE(""https://docs.google.com/spreadsheets/d/1eHaY18a8A9IcSdp1K8H6x8fbOy06t2VsZHhMHf-1x7Y/edit?usp=sharing"",""แผน!AU70"")"),0)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IFERROR(__xludf.DUMMYFUNCTION("IMPORTRANGE(""https://docs.google.com/spreadsheets/d/1eHaY18a8A9IcSdp1K8H6x8fbOy06t2VsZHhMHf-1x7Y/edit?usp=sharing"",""แผน!AX70"")"),0)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IFERROR(__xludf.DUMMYFUNCTION("IMPORTRANGE(""https://docs.google.com/spreadsheets/d/1eHaY18a8A9IcSdp1K8H6x8fbOy06t2VsZHhMHf-1x7Y/edit?usp=sharing"",""แผน!AY70"")"),0)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IFERROR(__xludf.DUMMYFUNCTION("IMPORTRANGE(""https://docs.google.com/spreadsheets/d/1eHaY18a8A9IcSdp1K8H6x8fbOy06t2VsZHhMHf-1x7Y/edit?usp=sharing"",""แผน!AZ70"")"),0)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IFERROR(__xludf.DUMMYFUNCTION("IMPORTRANGE(""https://docs.google.com/spreadsheets/d/1eHaY18a8A9IcSdp1K8H6x8fbOy06t2VsZHhMHf-1x7Y/edit?usp=sharing"",""แผน!BA70"")"),0)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IFERROR(__xludf.DUMMYFUNCTION("IMPORTRANGE(""https://docs.google.com/spreadsheets/d/1eHaY18a8A9IcSdp1K8H6x8fbOy06t2VsZHhMHf-1x7Y/edit?usp=sharing"",""แผน!BG70"")"),0)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IFERROR(__xludf.DUMMYFUNCTION("IMPORTRANGE(""https://docs.google.com/spreadsheets/d/1eHaY18a8A9IcSdp1K8H6x8fbOy06t2VsZHhMHf-1x7Y/edit?usp=sharing"",""แผน!BB70"")"),0)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IFERROR(__xludf.DUMMYFUNCTION("IMPORTRANGE(""https://docs.google.com/spreadsheets/d/1eHaY18a8A9IcSdp1K8H6x8fbOy06t2VsZHhMHf-1x7Y/edit?usp=sharing"",""แผน!BC70"")"),0)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IFERROR(__xludf.DUMMYFUNCTION("IMPORTRANGE(""https://docs.google.com/spreadsheets/d/1eHaY18a8A9IcSdp1K8H6x8fbOy06t2VsZHhMHf-1x7Y/edit?usp=sharing"",""แผน!BD70"")"),0)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IFERROR(__xludf.DUMMYFUNCTION("IMPORTRANGE(""https://docs.google.com/spreadsheets/d/1eHaY18a8A9IcSdp1K8H6x8fbOy06t2VsZHhMHf-1x7Y/edit?usp=sharing"",""แผน!BE70"")"),0)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IFERROR(__xludf.DUMMYFUNCTION("IMPORTRANGE(""https://docs.google.com/spreadsheets/d/1eHaY18a8A9IcSdp1K8H6x8fbOy06t2VsZHhMHf-1x7Y/edit?usp=sharing"",""แผน!BH70"")"),0)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IFERROR(__xludf.DUMMYFUNCTION("IMPORTRANGE(""https://docs.google.com/spreadsheets/d/1-uDff_7J0KD5mKrp0Vvzr7lt3OU09vwQwhkpOPPYv2Y/edit?usp=sharing"",""งบพรบ!DE70"")"),0)</f>
        <v>0</v>
      </c>
      <c r="M271" s="502">
        <f ca="1">IFERROR(__xludf.DUMMYFUNCTION("IMPORTRANGE(""https://docs.google.com/spreadsheets/d/1-uDff_7J0KD5mKrp0Vvzr7lt3OU09vwQwhkpOPPYv2Y/edit?usp=sharing"",""งบพรบ!DJ70"")"),0)</f>
        <v>0</v>
      </c>
      <c r="N271" s="502">
        <f ca="1">IFERROR(__xludf.DUMMYFUNCTION("IMPORTRANGE(""https://docs.google.com/spreadsheets/d/1-uDff_7J0KD5mKrp0Vvzr7lt3OU09vwQwhkpOPPYv2Y/edit?usp=sharing"",""งบพรบ!DL70"")"),0)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IFERROR(__xludf.DUMMYFUNCTION("IMPORTRANGE(""https://docs.google.com/spreadsheets/d/1-uDff_7J0KD5mKrp0Vvzr7lt3OU09vwQwhkpOPPYv2Y/edit?usp=sharing"",""งบพรบ!DH70"")"),0)</f>
        <v>0</v>
      </c>
      <c r="M274" s="502">
        <f ca="1">IFERROR(__xludf.DUMMYFUNCTION("IMPORTRANGE(""https://docs.google.com/spreadsheets/d/1-uDff_7J0KD5mKrp0Vvzr7lt3OU09vwQwhkpOPPYv2Y/edit?usp=sharing"",""งบพรบ!DK70"")"),0)</f>
        <v>0</v>
      </c>
      <c r="N274" s="502">
        <f ca="1">IFERROR(__xludf.DUMMYFUNCTION("IMPORTRANGE(""https://docs.google.com/spreadsheets/d/1-uDff_7J0KD5mKrp0Vvzr7lt3OU09vwQwhkpOPPYv2Y/edit?usp=sharing"",""งบพรบ!DM70"")"),0)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IFERROR(__xludf.DUMMYFUNCTION("IMPORTRANGE(""https://docs.google.com/spreadsheets/d/1-uDff_7J0KD5mKrp0Vvzr7lt3OU09vwQwhkpOPPYv2Y/edit?usp=sharing"",""งบพรบ!DO70"")"),0)</f>
        <v>0</v>
      </c>
      <c r="M287" s="427">
        <f ca="1">IFERROR(__xludf.DUMMYFUNCTION("IMPORTRANGE(""https://docs.google.com/spreadsheets/d/1-uDff_7J0KD5mKrp0Vvzr7lt3OU09vwQwhkpOPPYv2Y/edit?usp=sharing"",""งบพรบ!DT70"")"),0)</f>
        <v>0</v>
      </c>
      <c r="N287" s="427">
        <f ca="1">IFERROR(__xludf.DUMMYFUNCTION("IMPORTRANGE(""https://docs.google.com/spreadsheets/d/1-uDff_7J0KD5mKrp0Vvzr7lt3OU09vwQwhkpOPPYv2Y/edit?usp=sharing"",""งบพรบ!DV70"")"),0)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IFERROR(__xludf.DUMMYFUNCTION("IMPORTRANGE(""https://docs.google.com/spreadsheets/d/1-uDff_7J0KD5mKrp0Vvzr7lt3OU09vwQwhkpOPPYv2Y/edit?usp=sharing"",""งบพรบ!DR70"")"),0)</f>
        <v>0</v>
      </c>
      <c r="M290" s="427">
        <f ca="1">IFERROR(__xludf.DUMMYFUNCTION("IMPORTRANGE(""https://docs.google.com/spreadsheets/d/1-uDff_7J0KD5mKrp0Vvzr7lt3OU09vwQwhkpOPPYv2Y/edit?usp=sharing"",""งบพรบ!DU70"")"),0)</f>
        <v>0</v>
      </c>
      <c r="N290" s="427">
        <f ca="1">IFERROR(__xludf.DUMMYFUNCTION("IMPORTRANGE(""https://docs.google.com/spreadsheets/d/1-uDff_7J0KD5mKrp0Vvzr7lt3OU09vwQwhkpOPPYv2Y/edit?usp=sharing"",""งบพรบ!DW70"")"),0)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IFERROR(__xludf.DUMMYFUNCTION("IMPORTRANGE(""https://docs.google.com/spreadsheets/d/1eHaY18a8A9IcSdp1K8H6x8fbOy06t2VsZHhMHf-1x7Y/edit?usp=sharing"",""แผน!EE70"")"),0)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IFERROR(__xludf.DUMMYFUNCTION("IMPORTRANGE(""https://docs.google.com/spreadsheets/d/1eHaY18a8A9IcSdp1K8H6x8fbOy06t2VsZHhMHf-1x7Y/edit?usp=sharing"",""แผน!ED70"")"),0)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IFERROR(__xludf.DUMMYFUNCTION("IMPORTRANGE(""https://docs.google.com/spreadsheets/d/1eHaY18a8A9IcSdp1K8H6x8fbOy06t2VsZHhMHf-1x7Y/edit?usp=sharing"",""แผน!ED70"")"),0)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IFERROR(__xludf.DUMMYFUNCTION("IMPORTRANGE(""https://docs.google.com/spreadsheets/d/1eHaY18a8A9IcSdp1K8H6x8fbOy06t2VsZHhMHf-1x7Y/edit?usp=sharing"",""แผน!ED70"")"),0)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IFERROR(__xludf.DUMMYFUNCTION("IMPORTRANGE(""https://docs.google.com/spreadsheets/d/1-uDff_7J0KD5mKrp0Vvzr7lt3OU09vwQwhkpOPPYv2Y/edit?usp=sharing"",""งบพรบ!DY70"")"),0)</f>
        <v>0</v>
      </c>
      <c r="M308" s="427">
        <f ca="1">IFERROR(__xludf.DUMMYFUNCTION("IMPORTRANGE(""https://docs.google.com/spreadsheets/d/1-uDff_7J0KD5mKrp0Vvzr7lt3OU09vwQwhkpOPPYv2Y/edit?usp=sharing"",""งบพรบ!ED70"")"),0)</f>
        <v>0</v>
      </c>
      <c r="N308" s="427">
        <f ca="1">IFERROR(__xludf.DUMMYFUNCTION("IMPORTRANGE(""https://docs.google.com/spreadsheets/d/1-uDff_7J0KD5mKrp0Vvzr7lt3OU09vwQwhkpOPPYv2Y/edit?usp=sharing"",""งบพรบ!EF70"")"),0)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IFERROR(__xludf.DUMMYFUNCTION("IMPORTRANGE(""https://docs.google.com/spreadsheets/d/1-uDff_7J0KD5mKrp0Vvzr7lt3OU09vwQwhkpOPPYv2Y/edit?usp=sharing"",""งบพรบ!EB70"")"),0)</f>
        <v>0</v>
      </c>
      <c r="M311" s="427">
        <f ca="1">IFERROR(__xludf.DUMMYFUNCTION("IMPORTRANGE(""https://docs.google.com/spreadsheets/d/1-uDff_7J0KD5mKrp0Vvzr7lt3OU09vwQwhkpOPPYv2Y/edit?usp=sharing"",""งบพรบ!EE70"")"),0)</f>
        <v>0</v>
      </c>
      <c r="N311" s="427">
        <f ca="1">IFERROR(__xludf.DUMMYFUNCTION("IMPORTRANGE(""https://docs.google.com/spreadsheets/d/1-uDff_7J0KD5mKrp0Vvzr7lt3OU09vwQwhkpOPPYv2Y/edit?usp=sharing"",""งบพรบ!EG70"")"),0)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IFERROR(__xludf.DUMMYFUNCTION("IMPORTRANGE(""https://docs.google.com/spreadsheets/d/1eHaY18a8A9IcSdp1K8H6x8fbOy06t2VsZHhMHf-1x7Y/edit?usp=sharing"",""แผน!EF70"")"),0)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IFERROR(__xludf.DUMMYFUNCTION("IMPORTRANGE(""https://docs.google.com/spreadsheets/d/1eHaY18a8A9IcSdp1K8H6x8fbOy06t2VsZHhMHf-1x7Y/edit?usp=sharing"",""แผน!EG70"")"),0)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IFERROR(__xludf.DUMMYFUNCTION("IMPORTRANGE(""https://docs.google.com/spreadsheets/d/1eHaY18a8A9IcSdp1K8H6x8fbOy06t2VsZHhMHf-1x7Y/edit?usp=sharing"",""แผน!EH70"")"),0)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IFERROR(__xludf.DUMMYFUNCTION("IMPORTRANGE(""https://docs.google.com/spreadsheets/d/1eHaY18a8A9IcSdp1K8H6x8fbOy06t2VsZHhMHf-1x7Y/edit?usp=sharing"",""แผน!EI70"")"),0)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IFERROR(__xludf.DUMMYFUNCTION("IMPORTRANGE(""https://docs.google.com/spreadsheets/d/1-uDff_7J0KD5mKrp0Vvzr7lt3OU09vwQwhkpOPPYv2Y/edit?usp=sharing"",""งบพรบ!EI70"")"),0)</f>
        <v>0</v>
      </c>
      <c r="M325" s="427">
        <f ca="1">IFERROR(__xludf.DUMMYFUNCTION("IMPORTRANGE(""https://docs.google.com/spreadsheets/d/1-uDff_7J0KD5mKrp0Vvzr7lt3OU09vwQwhkpOPPYv2Y/edit?usp=sharing"",""งบพรบ!EN70"")"),0)</f>
        <v>0</v>
      </c>
      <c r="N325" s="427">
        <f ca="1">IFERROR(__xludf.DUMMYFUNCTION("IMPORTRANGE(""https://docs.google.com/spreadsheets/d/1-uDff_7J0KD5mKrp0Vvzr7lt3OU09vwQwhkpOPPYv2Y/edit?usp=sharing"",""งบพรบ!EP70"")"),0)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IFERROR(__xludf.DUMMYFUNCTION("IMPORTRANGE(""https://docs.google.com/spreadsheets/d/1-uDff_7J0KD5mKrp0Vvzr7lt3OU09vwQwhkpOPPYv2Y/edit?usp=sharing"",""งบพรบ!EL70"")"),0)</f>
        <v>0</v>
      </c>
      <c r="M328" s="427">
        <f ca="1">IFERROR(__xludf.DUMMYFUNCTION("IMPORTRANGE(""https://docs.google.com/spreadsheets/d/1-uDff_7J0KD5mKrp0Vvzr7lt3OU09vwQwhkpOPPYv2Y/edit?usp=sharing"",""งบพรบ!EO70"")"),0)</f>
        <v>0</v>
      </c>
      <c r="N328" s="427">
        <f ca="1">IFERROR(__xludf.DUMMYFUNCTION("IMPORTRANGE(""https://docs.google.com/spreadsheets/d/1-uDff_7J0KD5mKrp0Vvzr7lt3OU09vwQwhkpOPPYv2Y/edit?usp=sharing"",""งบพรบ!EQ70"")"),0)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IFERROR(__xludf.DUMMYFUNCTION("IMPORTRANGE(""https://docs.google.com/spreadsheets/d/1eHaY18a8A9IcSdp1K8H6x8fbOy06t2VsZHhMHf-1x7Y/edit?usp=sharing"",""แผน!EJ70"")"),0)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1000</v>
      </c>
      <c r="J332" s="404">
        <f ca="1">J344+J347+J348+J349+J353</f>
        <v>1711</v>
      </c>
      <c r="K332" s="405">
        <f ca="1">IF(I332&gt;0,J332*100/I332,0)</f>
        <v>171.1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104000</v>
      </c>
      <c r="M333" s="715">
        <f ca="1">M334+M335</f>
        <v>83750</v>
      </c>
      <c r="N333" s="715">
        <f ca="1">N334+N335</f>
        <v>36361</v>
      </c>
      <c r="O333" s="715">
        <f t="shared" ref="O333:O341" ca="1" si="45">IF(L333&gt;0,N333*100/L333,0)</f>
        <v>34.962499999999999</v>
      </c>
      <c r="P333" s="715">
        <f t="shared" ref="P333:P341" ca="1" si="46">IF(M333&gt;0,N333*100/M333,0)</f>
        <v>43.416119402985075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104000</v>
      </c>
      <c r="M335" s="427">
        <f t="shared" ca="1" si="47"/>
        <v>83750</v>
      </c>
      <c r="N335" s="427">
        <f t="shared" ca="1" si="47"/>
        <v>36361</v>
      </c>
      <c r="O335" s="427">
        <f t="shared" ca="1" si="45"/>
        <v>34.962499999999999</v>
      </c>
      <c r="P335" s="427">
        <f t="shared" ca="1" si="46"/>
        <v>43.416119402985075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104000</v>
      </c>
      <c r="M336" s="427">
        <f ca="1">M337+M338</f>
        <v>83750</v>
      </c>
      <c r="N336" s="427">
        <f ca="1">N337+N338</f>
        <v>36361</v>
      </c>
      <c r="O336" s="427">
        <f t="shared" ca="1" si="45"/>
        <v>34.962499999999999</v>
      </c>
      <c r="P336" s="427">
        <f t="shared" ca="1" si="46"/>
        <v>43.416119402985075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IFERROR(__xludf.DUMMYFUNCTION("IMPORTRANGE(""https://docs.google.com/spreadsheets/d/1-uDff_7J0KD5mKrp0Vvzr7lt3OU09vwQwhkpOPPYv2Y/edit?usp=sharing"",""งบพรบ!ES70"")"),104000)</f>
        <v>104000</v>
      </c>
      <c r="M338" s="427">
        <f ca="1">IFERROR(__xludf.DUMMYFUNCTION("IMPORTRANGE(""https://docs.google.com/spreadsheets/d/1-uDff_7J0KD5mKrp0Vvzr7lt3OU09vwQwhkpOPPYv2Y/edit?usp=sharing"",""งบพรบ!EX70"")"),83750)</f>
        <v>83750</v>
      </c>
      <c r="N338" s="427">
        <f ca="1">IFERROR(__xludf.DUMMYFUNCTION("IMPORTRANGE(""https://docs.google.com/spreadsheets/d/1-uDff_7J0KD5mKrp0Vvzr7lt3OU09vwQwhkpOPPYv2Y/edit?usp=sharing"",""งบพรบ!EZ70"")"),36361)</f>
        <v>36361</v>
      </c>
      <c r="O338" s="427">
        <f t="shared" ca="1" si="45"/>
        <v>34.962499999999999</v>
      </c>
      <c r="P338" s="427">
        <f t="shared" ca="1" si="46"/>
        <v>43.416119402985075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IFERROR(__xludf.DUMMYFUNCTION("IMPORTRANGE(""https://docs.google.com/spreadsheets/d/1-uDff_7J0KD5mKrp0Vvzr7lt3OU09vwQwhkpOPPYv2Y/edit?usp=sharing"",""งบพรบ!EV70"")"),0)</f>
        <v>0</v>
      </c>
      <c r="M341" s="427">
        <f ca="1">IFERROR(__xludf.DUMMYFUNCTION("IMPORTRANGE(""https://docs.google.com/spreadsheets/d/1-uDff_7J0KD5mKrp0Vvzr7lt3OU09vwQwhkpOPPYv2Y/edit?usp=sharing"",""งบพรบ!EY70"")"),0)</f>
        <v>0</v>
      </c>
      <c r="N341" s="427">
        <f ca="1">IFERROR(__xludf.DUMMYFUNCTION("IMPORTRANGE(""https://docs.google.com/spreadsheets/d/1-uDff_7J0KD5mKrp0Vvzr7lt3OU09vwQwhkpOPPYv2Y/edit?usp=sharing"",""งบพรบ!FA70"")"),0)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422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IFERROR(__xludf.DUMMYFUNCTION("IMPORTRANGE(""https://docs.google.com/spreadsheets/d/1eHaY18a8A9IcSdp1K8H6x8fbOy06t2VsZHhMHf-1x7Y/edit?usp=sharing"",""แผน!EK70"")"),1000)</f>
        <v>1000</v>
      </c>
      <c r="J344" s="426">
        <f ca="1">IFERROR(__xludf.DUMMYFUNCTION("IMPORTRANGE(""https://docs.google.com/spreadsheets/d/1awYsYK3VOup2i3Pq_Yjnu8DRu_mYwSBnCR2QPthd0rU/edit?usp=sharing"",""ศูนย์ยกเว้นโฉนด!D70"")"),357)</f>
        <v>357</v>
      </c>
      <c r="K344" s="427">
        <f ca="1">IF(I344&gt;0,J344*100/I344,0)</f>
        <v>35.700000000000003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IFERROR(__xludf.DUMMYFUNCTION("IMPORTRANGE(""https://docs.google.com/spreadsheets/d/1eHaY18a8A9IcSdp1K8H6x8fbOy06t2VsZHhMHf-1x7Y/edit?usp=sharing"",""แผน!EL70"")"),2)</f>
        <v>2</v>
      </c>
      <c r="J346" s="426">
        <f ca="1">IFERROR(__xludf.DUMMYFUNCTION("IMPORTRANGE(""https://docs.google.com/spreadsheets/d/1awYsYK3VOup2i3Pq_Yjnu8DRu_mYwSBnCR2QPthd0rU/edit?usp=sharing"",""ศูนย์รวม!E70"")"),4)</f>
        <v>4</v>
      </c>
      <c r="K346" s="427">
        <f ca="1">IF(I346&gt;0,J346*100/I346,0)</f>
        <v>200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IFERROR(__xludf.DUMMYFUNCTION("IMPORTRANGE(""https://docs.google.com/spreadsheets/d/1awYsYK3VOup2i3Pq_Yjnu8DRu_mYwSBnCR2QPthd0rU/edit?usp=sharing"",""ศูนย์ยกเว้นโฉนด!F70"")"),0)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IFERROR(__xludf.DUMMYFUNCTION("IMPORTRANGE(""https://docs.google.com/spreadsheets/d/1awYsYK3VOup2i3Pq_Yjnu8DRu_mYwSBnCR2QPthd0rU/edit?usp=sharing"",""ศูนย์ยกเว้นโฉนด!G70"")"),42)</f>
        <v>42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IFERROR(__xludf.DUMMYFUNCTION("IMPORTRANGE(""https://docs.google.com/spreadsheets/d/1awYsYK3VOup2i3Pq_Yjnu8DRu_mYwSBnCR2QPthd0rU/edit?usp=sharing"",""ศูนย์ยกเว้นโฉนด!H70"")"),23)</f>
        <v>23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1856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IFERROR(__xludf.DUMMYFUNCTION("IMPORTRANGE(""https://docs.google.com/spreadsheets/d/1awYsYK3VOup2i3Pq_Yjnu8DRu_mYwSBnCR2QPthd0rU/edit?usp=sharing"",""โฉนดM3!G70"")"),567)</f>
        <v>567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IFERROR(__xludf.DUMMYFUNCTION("IMPORTRANGE(""https://docs.google.com/spreadsheets/d/1awYsYK3VOup2i3Pq_Yjnu8DRu_mYwSBnCR2QPthd0rU/edit?usp=sharing"",""โฉนดM3!H70"")"),1289)</f>
        <v>1289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559230</v>
      </c>
      <c r="M356" s="715">
        <f ca="1">M357+M358</f>
        <v>425430</v>
      </c>
      <c r="N356" s="715">
        <f ca="1">N357+N358</f>
        <v>159713</v>
      </c>
      <c r="O356" s="715">
        <f t="shared" ref="O356:O364" ca="1" si="48">IF(L356&gt;0,N356*100/L356,0)</f>
        <v>28.559447812170305</v>
      </c>
      <c r="P356" s="715">
        <f t="shared" ref="P356:P364" ca="1" si="49">IF(M356&gt;0,N356*100/M356,0)</f>
        <v>37.541546200314976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559230</v>
      </c>
      <c r="M358" s="427">
        <f t="shared" ca="1" si="50"/>
        <v>425430</v>
      </c>
      <c r="N358" s="427">
        <f t="shared" ca="1" si="50"/>
        <v>159713</v>
      </c>
      <c r="O358" s="427">
        <f t="shared" ca="1" si="48"/>
        <v>28.559447812170305</v>
      </c>
      <c r="P358" s="427">
        <f t="shared" ca="1" si="49"/>
        <v>37.541546200314976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559230</v>
      </c>
      <c r="M359" s="427">
        <f ca="1">M360+M361</f>
        <v>425430</v>
      </c>
      <c r="N359" s="427">
        <f ca="1">N360+N361</f>
        <v>159713</v>
      </c>
      <c r="O359" s="427">
        <f t="shared" ca="1" si="48"/>
        <v>28.559447812170305</v>
      </c>
      <c r="P359" s="427">
        <f t="shared" ca="1" si="49"/>
        <v>37.541546200314976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IFERROR(__xludf.DUMMYFUNCTION("IMPORTRANGE(""https://docs.google.com/spreadsheets/d/1-uDff_7J0KD5mKrp0Vvzr7lt3OU09vwQwhkpOPPYv2Y/edit?usp=sharing"",""งบพรบ!FC70"")"),559230)</f>
        <v>559230</v>
      </c>
      <c r="M361" s="427">
        <f ca="1">IFERROR(__xludf.DUMMYFUNCTION("IMPORTRANGE(""https://docs.google.com/spreadsheets/d/1-uDff_7J0KD5mKrp0Vvzr7lt3OU09vwQwhkpOPPYv2Y/edit?usp=sharing"",""งบพรบ!FH70"")"),425430)</f>
        <v>425430</v>
      </c>
      <c r="N361" s="427">
        <f ca="1">IFERROR(__xludf.DUMMYFUNCTION("IMPORTRANGE(""https://docs.google.com/spreadsheets/d/1-uDff_7J0KD5mKrp0Vvzr7lt3OU09vwQwhkpOPPYv2Y/edit?usp=sharing"",""งบพรบ!FJ70"")"),159713)</f>
        <v>159713</v>
      </c>
      <c r="O361" s="427">
        <f t="shared" ca="1" si="48"/>
        <v>28.559447812170305</v>
      </c>
      <c r="P361" s="427">
        <f t="shared" ca="1" si="49"/>
        <v>37.541546200314976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IFERROR(__xludf.DUMMYFUNCTION("IMPORTRANGE(""https://docs.google.com/spreadsheets/d/1-uDff_7J0KD5mKrp0Vvzr7lt3OU09vwQwhkpOPPYv2Y/edit?usp=sharing"",""งบพรบ!FF70"")"),0)</f>
        <v>0</v>
      </c>
      <c r="M364" s="427">
        <f ca="1">IFERROR(__xludf.DUMMYFUNCTION("IMPORTRANGE(""https://docs.google.com/spreadsheets/d/1-uDff_7J0KD5mKrp0Vvzr7lt3OU09vwQwhkpOPPYv2Y/edit?usp=sharing"",""งบพรบ!FI70"")"),0)</f>
        <v>0</v>
      </c>
      <c r="N364" s="427">
        <f ca="1">IFERROR(__xludf.DUMMYFUNCTION("IMPORTRANGE(""https://docs.google.com/spreadsheets/d/1-uDff_7J0KD5mKrp0Vvzr7lt3OU09vwQwhkpOPPYv2Y/edit?usp=sharing"",""งบพรบ!FK70"")"),0)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73</v>
      </c>
      <c r="J365" s="440">
        <f ca="1">J371</f>
        <v>30</v>
      </c>
      <c r="K365" s="441">
        <f ca="1">IF(I365&gt;0,J365*100/I365,0)</f>
        <v>41.095890410958901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IFERROR(__xludf.DUMMYFUNCTION("IMPORTRANGE(""https://docs.google.com/spreadsheets/d/1tdoBKaGub7dwA3U6UFTqxio9LNnvDCQjHKmttSEBsFQ/edit?usp=sharing"",""จัดที่ดิน!AB70"")"),48)</f>
        <v>48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IFERROR(__xludf.DUMMYFUNCTION("IMPORTRANGE(""https://docs.google.com/spreadsheets/d/1eHaY18a8A9IcSdp1K8H6x8fbOy06t2VsZHhMHf-1x7Y/edit?usp=sharing"",""แผน!EW70"")"),565)</f>
        <v>565</v>
      </c>
      <c r="J368" s="704">
        <f ca="1">IFERROR(__xludf.DUMMYFUNCTION("IMPORTRANGE(""https://docs.google.com/spreadsheets/d/1tdoBKaGub7dwA3U6UFTqxio9LNnvDCQjHKmttSEBsFQ/edit?usp=sharing"",""จัดที่ดิน!AC70"")"),537.349999999999)</f>
        <v>537.349999999999</v>
      </c>
      <c r="K368" s="427">
        <f t="shared" ca="1" si="51"/>
        <v>95.106194690265312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IFERROR(__xludf.DUMMYFUNCTION("IMPORTRANGE(""https://docs.google.com/spreadsheets/d/1eHaY18a8A9IcSdp1K8H6x8fbOy06t2VsZHhMHf-1x7Y/edit?usp=sharing"",""แผน!EX70"")"),103)</f>
        <v>103</v>
      </c>
      <c r="J369" s="426">
        <f ca="1">IFERROR(__xludf.DUMMYFUNCTION("IMPORTRANGE(""https://docs.google.com/spreadsheets/d/1tdoBKaGub7dwA3U6UFTqxio9LNnvDCQjHKmttSEBsFQ/edit?usp=sharing"",""จัดที่ดิน!AD70"")"),30)</f>
        <v>30</v>
      </c>
      <c r="K369" s="427">
        <f t="shared" ca="1" si="51"/>
        <v>29.126213592233011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IFERROR(__xludf.DUMMYFUNCTION("IMPORTRANGE(""https://docs.google.com/spreadsheets/d/1tdoBKaGub7dwA3U6UFTqxio9LNnvDCQjHKmttSEBsFQ/edit?usp=sharing"",""จัดที่ดิน!AE70"")"),596.52)</f>
        <v>596.52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IFERROR(__xludf.DUMMYFUNCTION("IMPORTRANGE(""https://docs.google.com/spreadsheets/d/1eHaY18a8A9IcSdp1K8H6x8fbOy06t2VsZHhMHf-1x7Y/edit?usp=sharing"",""แผน!EY70"")"),73)</f>
        <v>73</v>
      </c>
      <c r="J371" s="426">
        <f ca="1">IFERROR(__xludf.DUMMYFUNCTION("IMPORTRANGE(""https://docs.google.com/spreadsheets/d/1tdoBKaGub7dwA3U6UFTqxio9LNnvDCQjHKmttSEBsFQ/edit?usp=sharing"",""จัดที่ดิน!AF70"")"),30)</f>
        <v>30</v>
      </c>
      <c r="K371" s="427">
        <f t="shared" ca="1" si="51"/>
        <v>41.095890410958901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IFERROR(__xludf.DUMMYFUNCTION("IMPORTRANGE(""https://docs.google.com/spreadsheets/d/1tdoBKaGub7dwA3U6UFTqxio9LNnvDCQjHKmttSEBsFQ/edit?usp=sharing"",""จัดที่ดิน!AG70"")"),596.52)</f>
        <v>596.52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IFERROR(__xludf.DUMMYFUNCTION("IMPORTRANGE(""https://docs.google.com/spreadsheets/d/1-uDff_7J0KD5mKrp0Vvzr7lt3OU09vwQwhkpOPPYv2Y/edit?usp=sharing"",""งบพรบ!FM70"")"),0)</f>
        <v>0</v>
      </c>
      <c r="M382" s="502">
        <f ca="1">IFERROR(__xludf.DUMMYFUNCTION("IMPORTRANGE(""https://docs.google.com/spreadsheets/d/1-uDff_7J0KD5mKrp0Vvzr7lt3OU09vwQwhkpOPPYv2Y/edit?usp=sharing"",""งบพรบ!FR70"")"),0)</f>
        <v>0</v>
      </c>
      <c r="N382" s="502">
        <f ca="1">IFERROR(__xludf.DUMMYFUNCTION("IMPORTRANGE(""https://docs.google.com/spreadsheets/d/1-uDff_7J0KD5mKrp0Vvzr7lt3OU09vwQwhkpOPPYv2Y/edit?usp=sharing"",""งบพรบ!FT70"")"),0)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IFERROR(__xludf.DUMMYFUNCTION("IMPORTRANGE(""https://docs.google.com/spreadsheets/d/1-uDff_7J0KD5mKrp0Vvzr7lt3OU09vwQwhkpOPPYv2Y/edit?usp=sharing"",""งบพรบ!FP70"")"),0)</f>
        <v>0</v>
      </c>
      <c r="M385" s="502">
        <f ca="1">IFERROR(__xludf.DUMMYFUNCTION("IMPORTRANGE(""https://docs.google.com/spreadsheets/d/1-uDff_7J0KD5mKrp0Vvzr7lt3OU09vwQwhkpOPPYv2Y/edit?usp=sharing"",""งบพรบ!FS70"")"),0)</f>
        <v>0</v>
      </c>
      <c r="N385" s="502">
        <f ca="1">IFERROR(__xludf.DUMMYFUNCTION("IMPORTRANGE(""https://docs.google.com/spreadsheets/d/1-uDff_7J0KD5mKrp0Vvzr7lt3OU09vwQwhkpOPPYv2Y/edit?usp=sharing"",""งบพรบ!FU70"")"),0)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0D79F-E6A8-414F-AC9E-DF7E88EF57A4}">
  <sheetPr>
    <outlinePr summaryBelow="0" summaryRight="0"/>
  </sheetPr>
  <dimension ref="A1:P545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093" t="s">
        <v>0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</row>
    <row r="2" spans="1:16" ht="19.5" x14ac:dyDescent="0.3">
      <c r="A2" s="1093" t="s">
        <v>156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</row>
    <row r="3" spans="1:16" ht="19.5" x14ac:dyDescent="0.3">
      <c r="A3" s="1093" t="s">
        <v>275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</row>
    <row r="4" spans="1:16" ht="12.75" x14ac:dyDescent="0.2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 x14ac:dyDescent="0.3">
      <c r="A5" s="1094" t="s">
        <v>2</v>
      </c>
      <c r="B5" s="1095"/>
      <c r="C5" s="1095"/>
      <c r="D5" s="1095"/>
      <c r="E5" s="1095"/>
      <c r="F5" s="1095"/>
      <c r="G5" s="1096"/>
      <c r="H5" s="4" t="s">
        <v>3</v>
      </c>
      <c r="I5" s="1100" t="s">
        <v>4</v>
      </c>
      <c r="J5" s="1092"/>
      <c r="K5" s="1090"/>
      <c r="L5" s="1089" t="s">
        <v>5</v>
      </c>
      <c r="M5" s="1090"/>
      <c r="N5" s="1091" t="s">
        <v>6</v>
      </c>
      <c r="O5" s="1092"/>
      <c r="P5" s="1090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5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19.5" hidden="1" x14ac:dyDescent="0.3">
      <c r="A7" s="1108"/>
      <c r="B7" s="1092"/>
      <c r="C7" s="1092"/>
      <c r="D7" s="1092"/>
      <c r="E7" s="1092"/>
      <c r="F7" s="1092"/>
      <c r="G7" s="1090"/>
      <c r="H7" s="672"/>
      <c r="I7" s="671"/>
      <c r="J7" s="671"/>
      <c r="K7" s="670"/>
      <c r="L7" s="670"/>
      <c r="M7" s="670"/>
      <c r="N7" s="670"/>
      <c r="O7" s="670"/>
      <c r="P7" s="670"/>
    </row>
    <row r="8" spans="1:16" ht="19.5" hidden="1" x14ac:dyDescent="0.3">
      <c r="A8" s="658"/>
      <c r="B8" s="189"/>
      <c r="C8" s="197"/>
      <c r="D8" s="660"/>
      <c r="E8" s="189"/>
      <c r="F8" s="189"/>
      <c r="G8" s="190"/>
      <c r="H8" s="204"/>
      <c r="I8" s="198"/>
      <c r="J8" s="198"/>
      <c r="K8" s="200"/>
      <c r="L8" s="206"/>
      <c r="M8" s="206"/>
      <c r="N8" s="206"/>
      <c r="O8" s="206"/>
      <c r="P8" s="206"/>
    </row>
    <row r="9" spans="1:16" ht="18.75" hidden="1" x14ac:dyDescent="0.25">
      <c r="A9" s="658"/>
      <c r="B9" s="189"/>
      <c r="C9" s="189"/>
      <c r="D9" s="189"/>
      <c r="E9" s="188"/>
      <c r="F9" s="189"/>
      <c r="G9" s="190"/>
      <c r="H9" s="191"/>
      <c r="I9" s="198"/>
      <c r="J9" s="198"/>
      <c r="K9" s="200"/>
      <c r="L9" s="193"/>
      <c r="M9" s="193"/>
      <c r="N9" s="193"/>
      <c r="O9" s="193"/>
      <c r="P9" s="193"/>
    </row>
    <row r="10" spans="1:16" ht="18.75" hidden="1" x14ac:dyDescent="0.25">
      <c r="A10" s="658"/>
      <c r="B10" s="189"/>
      <c r="C10" s="189"/>
      <c r="D10" s="189"/>
      <c r="E10" s="188"/>
      <c r="F10" s="189"/>
      <c r="G10" s="190"/>
      <c r="H10" s="191"/>
      <c r="I10" s="198"/>
      <c r="J10" s="198"/>
      <c r="K10" s="200"/>
      <c r="L10" s="193"/>
      <c r="M10" s="193"/>
      <c r="N10" s="193"/>
      <c r="O10" s="193"/>
      <c r="P10" s="193"/>
    </row>
    <row r="11" spans="1:16" ht="18.75" hidden="1" x14ac:dyDescent="0.25">
      <c r="A11" s="658"/>
      <c r="B11" s="189"/>
      <c r="C11" s="189"/>
      <c r="D11" s="659"/>
      <c r="E11" s="189"/>
      <c r="F11" s="189"/>
      <c r="G11" s="190"/>
      <c r="H11" s="191"/>
      <c r="I11" s="198"/>
      <c r="J11" s="198"/>
      <c r="K11" s="200"/>
      <c r="L11" s="193"/>
      <c r="M11" s="193"/>
      <c r="N11" s="193"/>
      <c r="O11" s="193"/>
      <c r="P11" s="193"/>
    </row>
    <row r="12" spans="1:16" ht="18.75" hidden="1" x14ac:dyDescent="0.25">
      <c r="A12" s="658"/>
      <c r="B12" s="189"/>
      <c r="C12" s="189"/>
      <c r="D12" s="189"/>
      <c r="E12" s="188"/>
      <c r="F12" s="189"/>
      <c r="G12" s="190"/>
      <c r="H12" s="191"/>
      <c r="I12" s="198"/>
      <c r="J12" s="198"/>
      <c r="K12" s="200"/>
      <c r="L12" s="193"/>
      <c r="M12" s="193"/>
      <c r="N12" s="193"/>
      <c r="O12" s="193"/>
      <c r="P12" s="193"/>
    </row>
    <row r="13" spans="1:16" ht="18.75" hidden="1" x14ac:dyDescent="0.25">
      <c r="A13" s="658"/>
      <c r="B13" s="189"/>
      <c r="C13" s="189"/>
      <c r="D13" s="189"/>
      <c r="E13" s="188"/>
      <c r="F13" s="189"/>
      <c r="G13" s="190"/>
      <c r="H13" s="191"/>
      <c r="I13" s="198"/>
      <c r="J13" s="198"/>
      <c r="K13" s="200"/>
      <c r="L13" s="193"/>
      <c r="M13" s="193"/>
      <c r="N13" s="193"/>
      <c r="O13" s="193"/>
      <c r="P13" s="193"/>
    </row>
    <row r="14" spans="1:16" ht="18.75" hidden="1" x14ac:dyDescent="0.25">
      <c r="A14" s="658"/>
      <c r="B14" s="189"/>
      <c r="C14" s="189"/>
      <c r="D14" s="659"/>
      <c r="E14" s="189"/>
      <c r="F14" s="189"/>
      <c r="G14" s="190"/>
      <c r="H14" s="191"/>
      <c r="I14" s="198"/>
      <c r="J14" s="198"/>
      <c r="K14" s="200"/>
      <c r="L14" s="193"/>
      <c r="M14" s="193"/>
      <c r="N14" s="193"/>
      <c r="O14" s="193"/>
      <c r="P14" s="193"/>
    </row>
    <row r="15" spans="1:16" ht="18.75" hidden="1" x14ac:dyDescent="0.25">
      <c r="A15" s="658"/>
      <c r="B15" s="189"/>
      <c r="C15" s="189"/>
      <c r="D15" s="189"/>
      <c r="E15" s="188"/>
      <c r="F15" s="189"/>
      <c r="G15" s="190"/>
      <c r="H15" s="191"/>
      <c r="I15" s="198"/>
      <c r="J15" s="198"/>
      <c r="K15" s="200"/>
      <c r="L15" s="193"/>
      <c r="M15" s="193"/>
      <c r="N15" s="193"/>
      <c r="O15" s="193"/>
      <c r="P15" s="193"/>
    </row>
    <row r="16" spans="1:16" ht="18.75" hidden="1" x14ac:dyDescent="0.25">
      <c r="A16" s="657"/>
      <c r="B16" s="655"/>
      <c r="C16" s="655"/>
      <c r="D16" s="655"/>
      <c r="E16" s="656"/>
      <c r="F16" s="655"/>
      <c r="G16" s="654"/>
      <c r="H16" s="653"/>
      <c r="I16" s="652"/>
      <c r="J16" s="652"/>
      <c r="K16" s="651"/>
      <c r="L16" s="650"/>
      <c r="M16" s="650"/>
      <c r="N16" s="650"/>
      <c r="O16" s="650"/>
      <c r="P16" s="650"/>
    </row>
    <row r="17" spans="1:16" ht="19.5" x14ac:dyDescent="0.3">
      <c r="A17" s="1102" t="s">
        <v>15</v>
      </c>
      <c r="B17" s="1098"/>
      <c r="C17" s="1098"/>
      <c r="D17" s="1098"/>
      <c r="E17" s="1098"/>
      <c r="F17" s="1098"/>
      <c r="G17" s="1099"/>
      <c r="H17" s="37"/>
      <c r="I17" s="38"/>
      <c r="J17" s="38"/>
      <c r="K17" s="39"/>
      <c r="L17" s="39"/>
      <c r="M17" s="39"/>
      <c r="N17" s="39"/>
      <c r="O17" s="39"/>
      <c r="P17" s="39"/>
    </row>
    <row r="18" spans="1:16" ht="19.5" x14ac:dyDescent="0.3">
      <c r="A18" s="40"/>
      <c r="B18" s="41"/>
      <c r="C18" s="153" t="s">
        <v>16</v>
      </c>
      <c r="D18" s="669" t="s">
        <v>17</v>
      </c>
      <c r="E18" s="41"/>
      <c r="F18" s="41"/>
      <c r="G18" s="44"/>
      <c r="H18" s="45" t="s">
        <v>12</v>
      </c>
      <c r="I18" s="46"/>
      <c r="J18" s="46"/>
      <c r="K18" s="47"/>
      <c r="L18" s="48">
        <f ca="1">L19+L20</f>
        <v>2247803</v>
      </c>
      <c r="M18" s="48">
        <f ca="1">M19+M20</f>
        <v>1889220</v>
      </c>
      <c r="N18" s="48">
        <f ca="1">N19+N20</f>
        <v>884313.05999999994</v>
      </c>
      <c r="O18" s="48">
        <f t="shared" ref="O18:O26" ca="1" si="0">IF(L18&gt;0,N18*100/L18,0)</f>
        <v>39.341217179619392</v>
      </c>
      <c r="P18" s="48">
        <f t="shared" ref="P18:P26" ca="1" si="1">IF(M18&gt;0,N18*100/M18,0)</f>
        <v>46.808368533045382</v>
      </c>
    </row>
    <row r="19" spans="1:16" ht="18.75" hidden="1" x14ac:dyDescent="0.25">
      <c r="A19" s="668"/>
      <c r="B19" s="666"/>
      <c r="C19" s="666"/>
      <c r="D19" s="666"/>
      <c r="E19" s="667" t="s">
        <v>18</v>
      </c>
      <c r="F19" s="666"/>
      <c r="G19" s="665"/>
      <c r="H19" s="664" t="s">
        <v>12</v>
      </c>
      <c r="I19" s="663"/>
      <c r="J19" s="663"/>
      <c r="K19" s="66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40"/>
      <c r="B20" s="41"/>
      <c r="C20" s="41"/>
      <c r="D20" s="41"/>
      <c r="E20" s="49" t="s">
        <v>19</v>
      </c>
      <c r="F20" s="41"/>
      <c r="G20" s="44"/>
      <c r="H20" s="50" t="s">
        <v>12</v>
      </c>
      <c r="I20" s="46"/>
      <c r="J20" s="46"/>
      <c r="K20" s="47"/>
      <c r="L20" s="51">
        <f t="shared" ca="1" si="2"/>
        <v>2247803</v>
      </c>
      <c r="M20" s="51">
        <f t="shared" ca="1" si="2"/>
        <v>1889220</v>
      </c>
      <c r="N20" s="51">
        <f t="shared" ca="1" si="2"/>
        <v>884313.05999999994</v>
      </c>
      <c r="O20" s="51">
        <f t="shared" ca="1" si="0"/>
        <v>39.341217179619392</v>
      </c>
      <c r="P20" s="51">
        <f t="shared" ca="1" si="1"/>
        <v>46.808368533045382</v>
      </c>
    </row>
    <row r="21" spans="1:16" ht="18.75" x14ac:dyDescent="0.25">
      <c r="A21" s="52"/>
      <c r="B21" s="53"/>
      <c r="C21" s="53"/>
      <c r="D21" s="553" t="s">
        <v>20</v>
      </c>
      <c r="E21" s="53"/>
      <c r="F21" s="53"/>
      <c r="G21" s="55"/>
      <c r="H21" s="56" t="s">
        <v>12</v>
      </c>
      <c r="I21" s="57"/>
      <c r="J21" s="57"/>
      <c r="K21" s="58"/>
      <c r="L21" s="61">
        <f ca="1">L22+L23</f>
        <v>2247803</v>
      </c>
      <c r="M21" s="61">
        <f ca="1">M22+M23</f>
        <v>1889220</v>
      </c>
      <c r="N21" s="61">
        <f ca="1">N22+N23</f>
        <v>884313.05999999994</v>
      </c>
      <c r="O21" s="61">
        <f t="shared" ca="1" si="0"/>
        <v>39.341217179619392</v>
      </c>
      <c r="P21" s="61">
        <f t="shared" ca="1" si="1"/>
        <v>46.808368533045382</v>
      </c>
    </row>
    <row r="22" spans="1:16" ht="18.75" hidden="1" x14ac:dyDescent="0.25">
      <c r="A22" s="614"/>
      <c r="B22" s="506"/>
      <c r="C22" s="506"/>
      <c r="D22" s="506"/>
      <c r="E22" s="520" t="s">
        <v>18</v>
      </c>
      <c r="F22" s="506"/>
      <c r="G22" s="505"/>
      <c r="H22" s="559" t="s">
        <v>12</v>
      </c>
      <c r="I22" s="199"/>
      <c r="J22" s="199"/>
      <c r="K22" s="501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52"/>
      <c r="B23" s="53"/>
      <c r="C23" s="53"/>
      <c r="D23" s="53"/>
      <c r="E23" s="336" t="s">
        <v>19</v>
      </c>
      <c r="F23" s="53"/>
      <c r="G23" s="55"/>
      <c r="H23" s="56" t="s">
        <v>12</v>
      </c>
      <c r="I23" s="57"/>
      <c r="J23" s="57"/>
      <c r="K23" s="58"/>
      <c r="L23" s="61">
        <f t="shared" ca="1" si="3"/>
        <v>2247803</v>
      </c>
      <c r="M23" s="61">
        <f t="shared" ca="1" si="3"/>
        <v>1889220</v>
      </c>
      <c r="N23" s="61">
        <f t="shared" ca="1" si="3"/>
        <v>884313.05999999994</v>
      </c>
      <c r="O23" s="61">
        <f t="shared" ca="1" si="0"/>
        <v>39.341217179619392</v>
      </c>
      <c r="P23" s="61">
        <f t="shared" ca="1" si="1"/>
        <v>46.808368533045382</v>
      </c>
    </row>
    <row r="24" spans="1:16" ht="18.75" x14ac:dyDescent="0.25">
      <c r="A24" s="52"/>
      <c r="B24" s="53"/>
      <c r="C24" s="53"/>
      <c r="D24" s="553" t="s">
        <v>21</v>
      </c>
      <c r="E24" s="53"/>
      <c r="F24" s="53"/>
      <c r="G24" s="55"/>
      <c r="H24" s="56" t="s">
        <v>12</v>
      </c>
      <c r="I24" s="57"/>
      <c r="J24" s="57"/>
      <c r="K24" s="58"/>
      <c r="L24" s="61">
        <f ca="1">L25+L26</f>
        <v>0</v>
      </c>
      <c r="M24" s="61">
        <f ca="1">M25+M26</f>
        <v>0</v>
      </c>
      <c r="N24" s="61">
        <f ca="1">N25+N26</f>
        <v>0</v>
      </c>
      <c r="O24" s="61">
        <f t="shared" ca="1" si="0"/>
        <v>0</v>
      </c>
      <c r="P24" s="61">
        <f t="shared" ca="1" si="1"/>
        <v>0</v>
      </c>
    </row>
    <row r="25" spans="1:16" ht="18.75" hidden="1" x14ac:dyDescent="0.25">
      <c r="A25" s="614"/>
      <c r="B25" s="506"/>
      <c r="C25" s="506"/>
      <c r="D25" s="506"/>
      <c r="E25" s="520" t="s">
        <v>18</v>
      </c>
      <c r="F25" s="506"/>
      <c r="G25" s="505"/>
      <c r="H25" s="559" t="s">
        <v>12</v>
      </c>
      <c r="I25" s="199"/>
      <c r="J25" s="199"/>
      <c r="K25" s="501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52"/>
      <c r="B26" s="53"/>
      <c r="C26" s="53"/>
      <c r="D26" s="53"/>
      <c r="E26" s="336" t="s">
        <v>19</v>
      </c>
      <c r="F26" s="53"/>
      <c r="G26" s="55"/>
      <c r="H26" s="56" t="s">
        <v>12</v>
      </c>
      <c r="I26" s="57"/>
      <c r="J26" s="57"/>
      <c r="K26" s="58"/>
      <c r="L26" s="61">
        <f t="shared" ca="1" si="4"/>
        <v>0</v>
      </c>
      <c r="M26" s="61">
        <f t="shared" ca="1" si="4"/>
        <v>0</v>
      </c>
      <c r="N26" s="61">
        <f t="shared" ca="1" si="4"/>
        <v>0</v>
      </c>
      <c r="O26" s="61">
        <f t="shared" ca="1" si="0"/>
        <v>0</v>
      </c>
      <c r="P26" s="61">
        <f t="shared" ca="1" si="1"/>
        <v>0</v>
      </c>
    </row>
    <row r="27" spans="1:16" ht="18.75" hidden="1" x14ac:dyDescent="0.25">
      <c r="A27" s="640"/>
      <c r="B27" s="638"/>
      <c r="C27" s="638"/>
      <c r="D27" s="639" t="s">
        <v>22</v>
      </c>
      <c r="E27" s="638"/>
      <c r="F27" s="638"/>
      <c r="G27" s="637"/>
      <c r="H27" s="636" t="s">
        <v>12</v>
      </c>
      <c r="I27" s="635"/>
      <c r="J27" s="635"/>
      <c r="K27" s="634"/>
      <c r="L27" s="633"/>
      <c r="M27" s="633"/>
      <c r="N27" s="633"/>
      <c r="O27" s="633"/>
      <c r="P27" s="633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9.5" hidden="1" x14ac:dyDescent="0.3">
      <c r="A30" s="1109"/>
      <c r="B30" s="1098"/>
      <c r="C30" s="1098"/>
      <c r="D30" s="1098"/>
      <c r="E30" s="1098"/>
      <c r="F30" s="1098"/>
      <c r="G30" s="1099"/>
      <c r="H30" s="654"/>
      <c r="I30" s="652"/>
      <c r="J30" s="652"/>
      <c r="K30" s="651"/>
      <c r="L30" s="651"/>
      <c r="M30" s="651"/>
      <c r="N30" s="651"/>
      <c r="O30" s="651"/>
      <c r="P30" s="651"/>
    </row>
    <row r="31" spans="1:16" ht="19.5" hidden="1" x14ac:dyDescent="0.3">
      <c r="A31" s="658"/>
      <c r="B31" s="189"/>
      <c r="C31" s="197"/>
      <c r="D31" s="660"/>
      <c r="E31" s="189"/>
      <c r="F31" s="189"/>
      <c r="G31" s="190"/>
      <c r="H31" s="204"/>
      <c r="I31" s="198"/>
      <c r="J31" s="198"/>
      <c r="K31" s="200"/>
      <c r="L31" s="206"/>
      <c r="M31" s="206"/>
      <c r="N31" s="206"/>
      <c r="O31" s="206"/>
      <c r="P31" s="206"/>
    </row>
    <row r="32" spans="1:16" ht="18.75" hidden="1" x14ac:dyDescent="0.25">
      <c r="A32" s="658"/>
      <c r="B32" s="189"/>
      <c r="C32" s="189"/>
      <c r="D32" s="189"/>
      <c r="E32" s="188"/>
      <c r="F32" s="189"/>
      <c r="G32" s="190"/>
      <c r="H32" s="191"/>
      <c r="I32" s="198"/>
      <c r="J32" s="198"/>
      <c r="K32" s="200"/>
      <c r="L32" s="193"/>
      <c r="M32" s="193"/>
      <c r="N32" s="193"/>
      <c r="O32" s="193"/>
      <c r="P32" s="193"/>
    </row>
    <row r="33" spans="1:16" ht="18.75" hidden="1" x14ac:dyDescent="0.25">
      <c r="A33" s="658"/>
      <c r="B33" s="189"/>
      <c r="C33" s="189"/>
      <c r="D33" s="189"/>
      <c r="E33" s="188"/>
      <c r="F33" s="189"/>
      <c r="G33" s="190"/>
      <c r="H33" s="191"/>
      <c r="I33" s="198"/>
      <c r="J33" s="198"/>
      <c r="K33" s="200"/>
      <c r="L33" s="193"/>
      <c r="M33" s="193"/>
      <c r="N33" s="193"/>
      <c r="O33" s="193"/>
      <c r="P33" s="193"/>
    </row>
    <row r="34" spans="1:16" ht="18.75" hidden="1" x14ac:dyDescent="0.25">
      <c r="A34" s="658"/>
      <c r="B34" s="189"/>
      <c r="C34" s="189"/>
      <c r="D34" s="659"/>
      <c r="E34" s="189"/>
      <c r="F34" s="189"/>
      <c r="G34" s="190"/>
      <c r="H34" s="191"/>
      <c r="I34" s="198"/>
      <c r="J34" s="198"/>
      <c r="K34" s="200"/>
      <c r="L34" s="193"/>
      <c r="M34" s="193"/>
      <c r="N34" s="193"/>
      <c r="O34" s="193"/>
      <c r="P34" s="193"/>
    </row>
    <row r="35" spans="1:16" ht="18.75" hidden="1" x14ac:dyDescent="0.25">
      <c r="A35" s="658"/>
      <c r="B35" s="189"/>
      <c r="C35" s="189"/>
      <c r="D35" s="189"/>
      <c r="E35" s="188"/>
      <c r="F35" s="189"/>
      <c r="G35" s="190"/>
      <c r="H35" s="191"/>
      <c r="I35" s="198"/>
      <c r="J35" s="198"/>
      <c r="K35" s="200"/>
      <c r="L35" s="193"/>
      <c r="M35" s="193"/>
      <c r="N35" s="193"/>
      <c r="O35" s="193"/>
      <c r="P35" s="193"/>
    </row>
    <row r="36" spans="1:16" ht="18.75" hidden="1" x14ac:dyDescent="0.25">
      <c r="A36" s="658"/>
      <c r="B36" s="189"/>
      <c r="C36" s="189"/>
      <c r="D36" s="189"/>
      <c r="E36" s="188"/>
      <c r="F36" s="189"/>
      <c r="G36" s="190"/>
      <c r="H36" s="191"/>
      <c r="I36" s="198"/>
      <c r="J36" s="198"/>
      <c r="K36" s="200"/>
      <c r="L36" s="193"/>
      <c r="M36" s="193"/>
      <c r="N36" s="193"/>
      <c r="O36" s="193"/>
      <c r="P36" s="193"/>
    </row>
    <row r="37" spans="1:16" ht="18.75" hidden="1" x14ac:dyDescent="0.25">
      <c r="A37" s="658"/>
      <c r="B37" s="189"/>
      <c r="C37" s="189"/>
      <c r="D37" s="659"/>
      <c r="E37" s="189"/>
      <c r="F37" s="189"/>
      <c r="G37" s="190"/>
      <c r="H37" s="191"/>
      <c r="I37" s="198"/>
      <c r="J37" s="198"/>
      <c r="K37" s="200"/>
      <c r="L37" s="193"/>
      <c r="M37" s="193"/>
      <c r="N37" s="193"/>
      <c r="O37" s="193"/>
      <c r="P37" s="193"/>
    </row>
    <row r="38" spans="1:16" ht="18.75" hidden="1" x14ac:dyDescent="0.25">
      <c r="A38" s="658"/>
      <c r="B38" s="189"/>
      <c r="C38" s="189"/>
      <c r="D38" s="189"/>
      <c r="E38" s="188"/>
      <c r="F38" s="189"/>
      <c r="G38" s="190"/>
      <c r="H38" s="191"/>
      <c r="I38" s="198"/>
      <c r="J38" s="198"/>
      <c r="K38" s="200"/>
      <c r="L38" s="193"/>
      <c r="M38" s="193"/>
      <c r="N38" s="193"/>
      <c r="O38" s="193"/>
      <c r="P38" s="193"/>
    </row>
    <row r="39" spans="1:16" ht="18.75" hidden="1" x14ac:dyDescent="0.25">
      <c r="A39" s="657"/>
      <c r="B39" s="655"/>
      <c r="C39" s="655"/>
      <c r="D39" s="655"/>
      <c r="E39" s="656"/>
      <c r="F39" s="655"/>
      <c r="G39" s="654"/>
      <c r="H39" s="653"/>
      <c r="I39" s="652"/>
      <c r="J39" s="652"/>
      <c r="K39" s="651"/>
      <c r="L39" s="650"/>
      <c r="M39" s="650"/>
      <c r="N39" s="650"/>
      <c r="O39" s="650"/>
      <c r="P39" s="650"/>
    </row>
    <row r="40" spans="1:16" ht="19.5" hidden="1" x14ac:dyDescent="0.3">
      <c r="A40" s="78" t="s">
        <v>23</v>
      </c>
      <c r="B40" s="79"/>
      <c r="C40" s="79"/>
      <c r="D40" s="79"/>
      <c r="E40" s="79"/>
      <c r="F40" s="79"/>
      <c r="G40" s="80"/>
      <c r="H40" s="80"/>
      <c r="I40" s="81"/>
      <c r="J40" s="81"/>
      <c r="K40" s="82"/>
      <c r="L40" s="83">
        <f ca="1">L44+L59+L72+L94+L125+L139+L157+L173+L186+L266+L282+L303+L320+L333+L356</f>
        <v>2247803</v>
      </c>
      <c r="M40" s="83">
        <f ca="1">M44+M59+M72+M94+M125+M139+M157+M173+M186+M266+M282+M303+M320+M333+M356</f>
        <v>1889220</v>
      </c>
      <c r="N40" s="83">
        <f ca="1">N44+N59+N72+N94+N125+N139+N157+N173+N186+N266+N282+N303+N320+N333+N356</f>
        <v>884313.05999999994</v>
      </c>
      <c r="O40" s="83">
        <f ca="1">IF(L40&gt;0,N40*100/L40,0)</f>
        <v>39.341217179619392</v>
      </c>
      <c r="P40" s="83">
        <f ca="1">IF(M40&gt;0,N40*100/M40,0)</f>
        <v>46.808368533045382</v>
      </c>
    </row>
    <row r="41" spans="1:16" ht="19.5" x14ac:dyDescent="0.3">
      <c r="A41" s="84" t="s">
        <v>24</v>
      </c>
      <c r="B41" s="85"/>
      <c r="C41" s="85"/>
      <c r="D41" s="85"/>
      <c r="E41" s="85"/>
      <c r="F41" s="85"/>
      <c r="G41" s="85"/>
      <c r="H41" s="85"/>
      <c r="I41" s="86"/>
      <c r="J41" s="86"/>
      <c r="K41" s="87"/>
      <c r="L41" s="87"/>
      <c r="M41" s="87"/>
      <c r="N41" s="87"/>
      <c r="O41" s="87"/>
      <c r="P41" s="88"/>
    </row>
    <row r="42" spans="1:16" ht="19.5" x14ac:dyDescent="0.3">
      <c r="A42" s="89"/>
      <c r="B42" s="90" t="s">
        <v>25</v>
      </c>
      <c r="C42" s="89"/>
      <c r="D42" s="89"/>
      <c r="E42" s="89"/>
      <c r="F42" s="89"/>
      <c r="G42" s="89"/>
      <c r="H42" s="91"/>
      <c r="I42" s="92"/>
      <c r="J42" s="92"/>
      <c r="K42" s="93"/>
      <c r="L42" s="93"/>
      <c r="M42" s="93"/>
      <c r="N42" s="93"/>
      <c r="O42" s="93"/>
      <c r="P42" s="93"/>
    </row>
    <row r="43" spans="1:16" ht="19.5" hidden="1" x14ac:dyDescent="0.3">
      <c r="A43" s="16"/>
      <c r="B43" s="17"/>
      <c r="C43" s="212"/>
      <c r="D43" s="19"/>
      <c r="E43" s="17"/>
      <c r="F43" s="17"/>
      <c r="G43" s="20"/>
      <c r="H43" s="21"/>
      <c r="I43" s="22"/>
      <c r="J43" s="22"/>
      <c r="K43" s="23"/>
      <c r="L43" s="24"/>
      <c r="M43" s="24"/>
      <c r="N43" s="24"/>
      <c r="O43" s="24"/>
      <c r="P43" s="24"/>
    </row>
    <row r="44" spans="1:16" ht="19.5" x14ac:dyDescent="0.3">
      <c r="A44" s="94"/>
      <c r="B44" s="95"/>
      <c r="C44" s="96" t="s">
        <v>16</v>
      </c>
      <c r="D44" s="649" t="s">
        <v>17</v>
      </c>
      <c r="E44" s="95"/>
      <c r="F44" s="95"/>
      <c r="G44" s="98"/>
      <c r="H44" s="99" t="s">
        <v>12</v>
      </c>
      <c r="I44" s="100"/>
      <c r="J44" s="100"/>
      <c r="K44" s="101"/>
      <c r="L44" s="102">
        <f ca="1">L45+L46</f>
        <v>355143</v>
      </c>
      <c r="M44" s="102">
        <f ca="1">M45+M46</f>
        <v>363885</v>
      </c>
      <c r="N44" s="102">
        <f ca="1">N45+N46</f>
        <v>172497.33</v>
      </c>
      <c r="O44" s="102">
        <f t="shared" ref="O44:O52" ca="1" si="5">IF(L44&gt;0,N44*100/L44,0)</f>
        <v>48.571231869979137</v>
      </c>
      <c r="P44" s="102">
        <f t="shared" ref="P44:P52" ca="1" si="6">IF(M44&gt;0,N44*100/M44,0)</f>
        <v>47.404353023620097</v>
      </c>
    </row>
    <row r="45" spans="1:16" ht="18.75" hidden="1" x14ac:dyDescent="0.25">
      <c r="A45" s="648"/>
      <c r="B45" s="646"/>
      <c r="C45" s="646"/>
      <c r="D45" s="646"/>
      <c r="E45" s="647" t="s">
        <v>18</v>
      </c>
      <c r="F45" s="646"/>
      <c r="G45" s="645"/>
      <c r="H45" s="644" t="s">
        <v>12</v>
      </c>
      <c r="I45" s="643"/>
      <c r="J45" s="643"/>
      <c r="K45" s="642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4"/>
      <c r="B46" s="95"/>
      <c r="C46" s="95"/>
      <c r="D46" s="95"/>
      <c r="E46" s="103" t="s">
        <v>19</v>
      </c>
      <c r="F46" s="95"/>
      <c r="G46" s="98"/>
      <c r="H46" s="104" t="s">
        <v>12</v>
      </c>
      <c r="I46" s="100"/>
      <c r="J46" s="100"/>
      <c r="K46" s="101"/>
      <c r="L46" s="105">
        <f t="shared" ca="1" si="7"/>
        <v>355143</v>
      </c>
      <c r="M46" s="105">
        <f t="shared" ca="1" si="7"/>
        <v>363885</v>
      </c>
      <c r="N46" s="105">
        <f t="shared" ca="1" si="7"/>
        <v>172497.33</v>
      </c>
      <c r="O46" s="105">
        <f t="shared" ca="1" si="5"/>
        <v>48.571231869979137</v>
      </c>
      <c r="P46" s="105">
        <f t="shared" ca="1" si="6"/>
        <v>47.404353023620097</v>
      </c>
    </row>
    <row r="47" spans="1:16" ht="18.75" x14ac:dyDescent="0.25">
      <c r="A47" s="52"/>
      <c r="B47" s="53"/>
      <c r="C47" s="53"/>
      <c r="D47" s="553" t="s">
        <v>20</v>
      </c>
      <c r="E47" s="53"/>
      <c r="F47" s="53"/>
      <c r="G47" s="55"/>
      <c r="H47" s="56" t="s">
        <v>12</v>
      </c>
      <c r="I47" s="57"/>
      <c r="J47" s="57"/>
      <c r="K47" s="58"/>
      <c r="L47" s="61">
        <f ca="1">L48+L49</f>
        <v>355143</v>
      </c>
      <c r="M47" s="61">
        <f ca="1">M48+M49</f>
        <v>363885</v>
      </c>
      <c r="N47" s="61">
        <f ca="1">N48+N49</f>
        <v>172497.33</v>
      </c>
      <c r="O47" s="61">
        <f t="shared" ca="1" si="5"/>
        <v>48.571231869979137</v>
      </c>
      <c r="P47" s="61">
        <f t="shared" ca="1" si="6"/>
        <v>47.404353023620097</v>
      </c>
    </row>
    <row r="48" spans="1:16" ht="18.75" hidden="1" x14ac:dyDescent="0.25">
      <c r="A48" s="614"/>
      <c r="B48" s="506"/>
      <c r="C48" s="506"/>
      <c r="D48" s="506"/>
      <c r="E48" s="520" t="s">
        <v>18</v>
      </c>
      <c r="F48" s="506"/>
      <c r="G48" s="505"/>
      <c r="H48" s="559" t="s">
        <v>12</v>
      </c>
      <c r="I48" s="199"/>
      <c r="J48" s="199"/>
      <c r="K48" s="501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52"/>
      <c r="B49" s="53"/>
      <c r="C49" s="53"/>
      <c r="D49" s="53"/>
      <c r="E49" s="336" t="s">
        <v>19</v>
      </c>
      <c r="F49" s="53"/>
      <c r="G49" s="55"/>
      <c r="H49" s="56" t="s">
        <v>12</v>
      </c>
      <c r="I49" s="57"/>
      <c r="J49" s="57"/>
      <c r="K49" s="58"/>
      <c r="L49" s="61">
        <f ca="1">IFERROR(__xludf.DUMMYFUNCTION("IMPORTRANGE(""https://docs.google.com/spreadsheets/d/1-uDff_7J0KD5mKrp0Vvzr7lt3OU09vwQwhkpOPPYv2Y/edit?usp=sharing"",""งบพรบ!P53"")"),355143)</f>
        <v>355143</v>
      </c>
      <c r="M49" s="61">
        <f ca="1">IFERROR(__xludf.DUMMYFUNCTION("IMPORTRANGE(""https://docs.google.com/spreadsheets/d/1-uDff_7J0KD5mKrp0Vvzr7lt3OU09vwQwhkpOPPYv2Y/edit?usp=sharing"",""งบพรบ!V53"")"),363885)</f>
        <v>363885</v>
      </c>
      <c r="N49" s="61">
        <f ca="1">IFERROR(__xludf.DUMMYFUNCTION("IMPORTRANGE(""https://docs.google.com/spreadsheets/d/1-uDff_7J0KD5mKrp0Vvzr7lt3OU09vwQwhkpOPPYv2Y/edit?usp=sharing"",""งบพรบ!Y53"")"),172497.33)</f>
        <v>172497.33</v>
      </c>
      <c r="O49" s="61">
        <f t="shared" ca="1" si="5"/>
        <v>48.571231869979137</v>
      </c>
      <c r="P49" s="61">
        <f t="shared" ca="1" si="6"/>
        <v>47.404353023620097</v>
      </c>
    </row>
    <row r="50" spans="1:16" ht="18.75" x14ac:dyDescent="0.25">
      <c r="A50" s="52"/>
      <c r="B50" s="53"/>
      <c r="C50" s="53"/>
      <c r="D50" s="553" t="s">
        <v>21</v>
      </c>
      <c r="E50" s="53"/>
      <c r="F50" s="53"/>
      <c r="G50" s="55"/>
      <c r="H50" s="56" t="s">
        <v>12</v>
      </c>
      <c r="I50" s="57"/>
      <c r="J50" s="57"/>
      <c r="K50" s="58"/>
      <c r="L50" s="61">
        <f ca="1">L51+L52</f>
        <v>0</v>
      </c>
      <c r="M50" s="61">
        <f ca="1">M51+M52</f>
        <v>0</v>
      </c>
      <c r="N50" s="61">
        <f ca="1">N51+N52</f>
        <v>0</v>
      </c>
      <c r="O50" s="61">
        <f t="shared" ca="1" si="5"/>
        <v>0</v>
      </c>
      <c r="P50" s="61">
        <f t="shared" ca="1" si="6"/>
        <v>0</v>
      </c>
    </row>
    <row r="51" spans="1:16" ht="18.75" hidden="1" x14ac:dyDescent="0.25">
      <c r="A51" s="614"/>
      <c r="B51" s="506"/>
      <c r="C51" s="506"/>
      <c r="D51" s="506"/>
      <c r="E51" s="520" t="s">
        <v>18</v>
      </c>
      <c r="F51" s="506"/>
      <c r="G51" s="505"/>
      <c r="H51" s="559" t="s">
        <v>12</v>
      </c>
      <c r="I51" s="199"/>
      <c r="J51" s="199"/>
      <c r="K51" s="501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52"/>
      <c r="B52" s="53"/>
      <c r="C52" s="53"/>
      <c r="D52" s="53"/>
      <c r="E52" s="336" t="s">
        <v>19</v>
      </c>
      <c r="F52" s="53"/>
      <c r="G52" s="55"/>
      <c r="H52" s="56" t="s">
        <v>12</v>
      </c>
      <c r="I52" s="57"/>
      <c r="J52" s="57"/>
      <c r="K52" s="58"/>
      <c r="L52" s="61">
        <f ca="1">IFERROR(__xludf.DUMMYFUNCTION("IMPORTRANGE(""https://docs.google.com/spreadsheets/d/1-uDff_7J0KD5mKrp0Vvzr7lt3OU09vwQwhkpOPPYv2Y/edit?usp=sharing"",""งบพรบ!S53"")"),0)</f>
        <v>0</v>
      </c>
      <c r="M52" s="61">
        <f ca="1">IFERROR(__xludf.DUMMYFUNCTION("IMPORTRANGE(""https://docs.google.com/spreadsheets/d/1-uDff_7J0KD5mKrp0Vvzr7lt3OU09vwQwhkpOPPYv2Y/edit?usp=sharing"",""งบพรบ!W53"")"),0)</f>
        <v>0</v>
      </c>
      <c r="N52" s="61">
        <f ca="1">IFERROR(__xludf.DUMMYFUNCTION("IMPORTRANGE(""https://docs.google.com/spreadsheets/d/1-uDff_7J0KD5mKrp0Vvzr7lt3OU09vwQwhkpOPPYv2Y/edit?usp=sharing"",""งบพรบ!Z53"")"),0)</f>
        <v>0</v>
      </c>
      <c r="O52" s="61">
        <f t="shared" ca="1" si="5"/>
        <v>0</v>
      </c>
      <c r="P52" s="61">
        <f t="shared" ca="1" si="6"/>
        <v>0</v>
      </c>
    </row>
    <row r="53" spans="1:16" ht="18.75" hidden="1" x14ac:dyDescent="0.25">
      <c r="A53" s="640"/>
      <c r="B53" s="638"/>
      <c r="C53" s="638"/>
      <c r="D53" s="639" t="s">
        <v>22</v>
      </c>
      <c r="E53" s="638"/>
      <c r="F53" s="638"/>
      <c r="G53" s="637"/>
      <c r="H53" s="636" t="s">
        <v>12</v>
      </c>
      <c r="I53" s="635"/>
      <c r="J53" s="635"/>
      <c r="K53" s="634"/>
      <c r="L53" s="633"/>
      <c r="M53" s="633"/>
      <c r="N53" s="633"/>
      <c r="O53" s="633"/>
      <c r="P53" s="633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04" t="s">
        <v>26</v>
      </c>
      <c r="B56" s="1092"/>
      <c r="C56" s="1092"/>
      <c r="D56" s="1092"/>
      <c r="E56" s="1092"/>
      <c r="F56" s="1092"/>
      <c r="G56" s="1092"/>
      <c r="H56" s="107"/>
      <c r="I56" s="108"/>
      <c r="J56" s="108"/>
      <c r="K56" s="109"/>
      <c r="L56" s="109"/>
      <c r="M56" s="109"/>
      <c r="N56" s="109"/>
      <c r="O56" s="109"/>
      <c r="P56" s="110"/>
    </row>
    <row r="57" spans="1:16" ht="19.5" x14ac:dyDescent="0.3">
      <c r="A57" s="111"/>
      <c r="B57" s="1105" t="s">
        <v>27</v>
      </c>
      <c r="C57" s="1106"/>
      <c r="D57" s="1106"/>
      <c r="E57" s="1106"/>
      <c r="F57" s="1106"/>
      <c r="G57" s="1107"/>
      <c r="H57" s="112"/>
      <c r="I57" s="113"/>
      <c r="J57" s="113"/>
      <c r="K57" s="114"/>
      <c r="L57" s="114"/>
      <c r="M57" s="114"/>
      <c r="N57" s="114"/>
      <c r="O57" s="114"/>
      <c r="P57" s="114"/>
    </row>
    <row r="58" spans="1:16" ht="19.5" x14ac:dyDescent="0.3">
      <c r="A58" s="115"/>
      <c r="B58" s="116" t="s">
        <v>28</v>
      </c>
      <c r="C58" s="117"/>
      <c r="D58" s="117"/>
      <c r="E58" s="117"/>
      <c r="F58" s="117"/>
      <c r="G58" s="118"/>
      <c r="H58" s="118"/>
      <c r="I58" s="119"/>
      <c r="J58" s="119"/>
      <c r="K58" s="120"/>
      <c r="L58" s="120"/>
      <c r="M58" s="120"/>
      <c r="N58" s="120"/>
      <c r="O58" s="120"/>
      <c r="P58" s="120"/>
    </row>
    <row r="59" spans="1:16" ht="19.5" x14ac:dyDescent="0.3">
      <c r="A59" s="121"/>
      <c r="B59" s="122"/>
      <c r="C59" s="123" t="s">
        <v>16</v>
      </c>
      <c r="D59" s="623" t="s">
        <v>17</v>
      </c>
      <c r="E59" s="122"/>
      <c r="F59" s="122"/>
      <c r="G59" s="125"/>
      <c r="H59" s="126" t="s">
        <v>12</v>
      </c>
      <c r="I59" s="127"/>
      <c r="J59" s="127"/>
      <c r="K59" s="128"/>
      <c r="L59" s="129">
        <f ca="1">L60+L61</f>
        <v>668400</v>
      </c>
      <c r="M59" s="129">
        <f ca="1">M60+M61</f>
        <v>503550</v>
      </c>
      <c r="N59" s="129">
        <f ca="1">N60+N61</f>
        <v>451255.73</v>
      </c>
      <c r="O59" s="129">
        <f t="shared" ref="O59:O67" ca="1" si="8">IF(L59&gt;0,N59*100/L59,0)</f>
        <v>67.512826152004791</v>
      </c>
      <c r="P59" s="129">
        <f t="shared" ref="P59:P67" ca="1" si="9">IF(M59&gt;0,N59*100/M59,0)</f>
        <v>89.614880349518415</v>
      </c>
    </row>
    <row r="60" spans="1:16" ht="18.75" hidden="1" x14ac:dyDescent="0.25">
      <c r="A60" s="622"/>
      <c r="B60" s="620"/>
      <c r="C60" s="620"/>
      <c r="D60" s="620"/>
      <c r="E60" s="621" t="s">
        <v>18</v>
      </c>
      <c r="F60" s="620"/>
      <c r="G60" s="619"/>
      <c r="H60" s="618" t="s">
        <v>12</v>
      </c>
      <c r="I60" s="617"/>
      <c r="J60" s="617"/>
      <c r="K60" s="616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121"/>
      <c r="B61" s="122"/>
      <c r="C61" s="122"/>
      <c r="D61" s="122"/>
      <c r="E61" s="130" t="s">
        <v>19</v>
      </c>
      <c r="F61" s="122"/>
      <c r="G61" s="125"/>
      <c r="H61" s="131" t="s">
        <v>12</v>
      </c>
      <c r="I61" s="127"/>
      <c r="J61" s="127"/>
      <c r="K61" s="128"/>
      <c r="L61" s="132">
        <f t="shared" ca="1" si="10"/>
        <v>668400</v>
      </c>
      <c r="M61" s="132">
        <f t="shared" ca="1" si="10"/>
        <v>503550</v>
      </c>
      <c r="N61" s="132">
        <f t="shared" ca="1" si="10"/>
        <v>451255.73</v>
      </c>
      <c r="O61" s="132">
        <f t="shared" ca="1" si="8"/>
        <v>67.512826152004791</v>
      </c>
      <c r="P61" s="132">
        <f t="shared" ca="1" si="9"/>
        <v>89.614880349518415</v>
      </c>
    </row>
    <row r="62" spans="1:16" ht="18.75" x14ac:dyDescent="0.25">
      <c r="A62" s="52"/>
      <c r="B62" s="53"/>
      <c r="C62" s="53"/>
      <c r="D62" s="553" t="s">
        <v>20</v>
      </c>
      <c r="E62" s="53"/>
      <c r="F62" s="53"/>
      <c r="G62" s="55"/>
      <c r="H62" s="56" t="s">
        <v>12</v>
      </c>
      <c r="I62" s="57"/>
      <c r="J62" s="57"/>
      <c r="K62" s="58"/>
      <c r="L62" s="61">
        <f ca="1">L63+L64</f>
        <v>668400</v>
      </c>
      <c r="M62" s="61">
        <f ca="1">M63+M64</f>
        <v>503550</v>
      </c>
      <c r="N62" s="61">
        <f ca="1">N63+N64</f>
        <v>451255.73</v>
      </c>
      <c r="O62" s="61">
        <f t="shared" ca="1" si="8"/>
        <v>67.512826152004791</v>
      </c>
      <c r="P62" s="61">
        <f t="shared" ca="1" si="9"/>
        <v>89.614880349518415</v>
      </c>
    </row>
    <row r="63" spans="1:16" ht="18.75" hidden="1" x14ac:dyDescent="0.25">
      <c r="A63" s="614"/>
      <c r="B63" s="506"/>
      <c r="C63" s="506"/>
      <c r="D63" s="506"/>
      <c r="E63" s="520" t="s">
        <v>18</v>
      </c>
      <c r="F63" s="506"/>
      <c r="G63" s="505"/>
      <c r="H63" s="559" t="s">
        <v>12</v>
      </c>
      <c r="I63" s="199"/>
      <c r="J63" s="199"/>
      <c r="K63" s="501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52"/>
      <c r="B64" s="53"/>
      <c r="C64" s="53"/>
      <c r="D64" s="53"/>
      <c r="E64" s="336" t="s">
        <v>19</v>
      </c>
      <c r="F64" s="53"/>
      <c r="G64" s="55"/>
      <c r="H64" s="56" t="s">
        <v>12</v>
      </c>
      <c r="I64" s="57"/>
      <c r="J64" s="57"/>
      <c r="K64" s="58"/>
      <c r="L64" s="61">
        <f ca="1">IFERROR(__xludf.DUMMYFUNCTION("IMPORTRANGE(""https://docs.google.com/spreadsheets/d/1-uDff_7J0KD5mKrp0Vvzr7lt3OU09vwQwhkpOPPYv2Y/edit?usp=sharing"",""งบพรบ!AC53"")"),668400)</f>
        <v>668400</v>
      </c>
      <c r="M64" s="61">
        <f ca="1">IFERROR(__xludf.DUMMYFUNCTION("IMPORTRANGE(""https://docs.google.com/spreadsheets/d/1-uDff_7J0KD5mKrp0Vvzr7lt3OU09vwQwhkpOPPYv2Y/edit?usp=sharing"",""งบพรบ!AH53"")"),503550)</f>
        <v>503550</v>
      </c>
      <c r="N64" s="61">
        <f ca="1">IFERROR(__xludf.DUMMYFUNCTION("IMPORTRANGE(""https://docs.google.com/spreadsheets/d/1-uDff_7J0KD5mKrp0Vvzr7lt3OU09vwQwhkpOPPYv2Y/edit?usp=sharing"",""งบพรบ!AJ53"")"),451255.73)</f>
        <v>451255.73</v>
      </c>
      <c r="O64" s="61">
        <f t="shared" ca="1" si="8"/>
        <v>67.512826152004791</v>
      </c>
      <c r="P64" s="61">
        <f t="shared" ca="1" si="9"/>
        <v>89.614880349518415</v>
      </c>
    </row>
    <row r="65" spans="1:16" ht="18.75" x14ac:dyDescent="0.25">
      <c r="A65" s="52"/>
      <c r="B65" s="53"/>
      <c r="C65" s="53"/>
      <c r="D65" s="553" t="s">
        <v>21</v>
      </c>
      <c r="E65" s="53"/>
      <c r="F65" s="53"/>
      <c r="G65" s="55"/>
      <c r="H65" s="56" t="s">
        <v>12</v>
      </c>
      <c r="I65" s="57"/>
      <c r="J65" s="57"/>
      <c r="K65" s="58"/>
      <c r="L65" s="61">
        <f ca="1">L66+L67</f>
        <v>0</v>
      </c>
      <c r="M65" s="61">
        <f ca="1">M66+M67</f>
        <v>0</v>
      </c>
      <c r="N65" s="61">
        <f ca="1">N66+N67</f>
        <v>0</v>
      </c>
      <c r="O65" s="61">
        <f t="shared" ca="1" si="8"/>
        <v>0</v>
      </c>
      <c r="P65" s="61">
        <f t="shared" ca="1" si="9"/>
        <v>0</v>
      </c>
    </row>
    <row r="66" spans="1:16" ht="18.75" hidden="1" x14ac:dyDescent="0.25">
      <c r="A66" s="614"/>
      <c r="B66" s="506"/>
      <c r="C66" s="506"/>
      <c r="D66" s="506"/>
      <c r="E66" s="520" t="s">
        <v>18</v>
      </c>
      <c r="F66" s="506"/>
      <c r="G66" s="505"/>
      <c r="H66" s="559" t="s">
        <v>12</v>
      </c>
      <c r="I66" s="199"/>
      <c r="J66" s="199"/>
      <c r="K66" s="501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133"/>
      <c r="B67" s="1"/>
      <c r="C67" s="1"/>
      <c r="D67" s="1"/>
      <c r="E67" s="254" t="s">
        <v>19</v>
      </c>
      <c r="F67" s="1"/>
      <c r="G67" s="135"/>
      <c r="H67" s="136" t="s">
        <v>12</v>
      </c>
      <c r="I67" s="137"/>
      <c r="J67" s="137"/>
      <c r="K67" s="138"/>
      <c r="L67" s="139">
        <f ca="1">IFERROR(__xludf.DUMMYFUNCTION("IMPORTRANGE(""https://docs.google.com/spreadsheets/d/1-uDff_7J0KD5mKrp0Vvzr7lt3OU09vwQwhkpOPPYv2Y/edit?usp=sharing"",""งบพรบ!AF53"")"),0)</f>
        <v>0</v>
      </c>
      <c r="M67" s="139">
        <f ca="1">IFERROR(__xludf.DUMMYFUNCTION("IMPORTRANGE(""https://docs.google.com/spreadsheets/d/1-uDff_7J0KD5mKrp0Vvzr7lt3OU09vwQwhkpOPPYv2Y/edit?usp=sharing"",""งบพรบ!AI53"")"),0)</f>
        <v>0</v>
      </c>
      <c r="N67" s="139">
        <f ca="1">IFERROR(__xludf.DUMMYFUNCTION("IMPORTRANGE(""https://docs.google.com/spreadsheets/d/1-uDff_7J0KD5mKrp0Vvzr7lt3OU09vwQwhkpOPPYv2Y/edit?usp=sharing"",""งบพรบ!AK53"")"),0)</f>
        <v>0</v>
      </c>
      <c r="O67" s="139">
        <f t="shared" ca="1" si="8"/>
        <v>0</v>
      </c>
      <c r="P67" s="139">
        <f t="shared" ca="1" si="9"/>
        <v>0</v>
      </c>
    </row>
    <row r="68" spans="1:16" ht="19.5" x14ac:dyDescent="0.3">
      <c r="A68" s="140" t="s">
        <v>29</v>
      </c>
      <c r="B68" s="141"/>
      <c r="C68" s="141"/>
      <c r="D68" s="141"/>
      <c r="E68" s="142"/>
      <c r="F68" s="142"/>
      <c r="G68" s="142"/>
      <c r="H68" s="142"/>
      <c r="I68" s="143"/>
      <c r="J68" s="143"/>
      <c r="K68" s="144"/>
      <c r="L68" s="144"/>
      <c r="M68" s="144"/>
      <c r="N68" s="144"/>
      <c r="O68" s="144"/>
      <c r="P68" s="145"/>
    </row>
    <row r="69" spans="1:16" ht="19.5" hidden="1" x14ac:dyDescent="0.3">
      <c r="A69" s="146" t="s">
        <v>30</v>
      </c>
      <c r="B69" s="147"/>
      <c r="C69" s="148"/>
      <c r="D69" s="147"/>
      <c r="E69" s="147"/>
      <c r="F69" s="147"/>
      <c r="G69" s="149"/>
      <c r="H69" s="149"/>
      <c r="I69" s="150"/>
      <c r="J69" s="150"/>
      <c r="K69" s="151"/>
      <c r="L69" s="151"/>
      <c r="M69" s="151"/>
      <c r="N69" s="151"/>
      <c r="O69" s="151"/>
      <c r="P69" s="151"/>
    </row>
    <row r="70" spans="1:16" ht="19.5" hidden="1" x14ac:dyDescent="0.3">
      <c r="A70" s="152"/>
      <c r="B70" s="153" t="s">
        <v>31</v>
      </c>
      <c r="C70" s="41"/>
      <c r="D70" s="154"/>
      <c r="E70" s="41"/>
      <c r="F70" s="41"/>
      <c r="G70" s="44"/>
      <c r="H70" s="226" t="s">
        <v>32</v>
      </c>
      <c r="I70" s="156">
        <f ca="1">I82</f>
        <v>0</v>
      </c>
      <c r="J70" s="156">
        <f>J82</f>
        <v>0</v>
      </c>
      <c r="K70" s="48">
        <f ca="1">IF(I70&gt;0,J70*100/I70,0)</f>
        <v>0</v>
      </c>
      <c r="L70" s="47"/>
      <c r="M70" s="47"/>
      <c r="N70" s="47"/>
      <c r="O70" s="47"/>
      <c r="P70" s="47"/>
    </row>
    <row r="71" spans="1:16" ht="19.5" hidden="1" x14ac:dyDescent="0.3">
      <c r="A71" s="152"/>
      <c r="B71" s="41"/>
      <c r="C71" s="41"/>
      <c r="D71" s="154"/>
      <c r="E71" s="41"/>
      <c r="F71" s="41"/>
      <c r="G71" s="44"/>
      <c r="H71" s="226" t="s">
        <v>33</v>
      </c>
      <c r="I71" s="156">
        <f ca="1">I83</f>
        <v>0</v>
      </c>
      <c r="J71" s="156">
        <f>J83</f>
        <v>0</v>
      </c>
      <c r="K71" s="48">
        <f ca="1">IF(I71&gt;0,J71*100/I71,0)</f>
        <v>0</v>
      </c>
      <c r="L71" s="47"/>
      <c r="M71" s="47"/>
      <c r="N71" s="47"/>
      <c r="O71" s="47"/>
      <c r="P71" s="47"/>
    </row>
    <row r="72" spans="1:16" ht="19.5" hidden="1" x14ac:dyDescent="0.3">
      <c r="A72" s="157"/>
      <c r="B72" s="53"/>
      <c r="C72" s="158" t="s">
        <v>16</v>
      </c>
      <c r="D72" s="554" t="s">
        <v>17</v>
      </c>
      <c r="E72" s="53"/>
      <c r="F72" s="53"/>
      <c r="G72" s="55"/>
      <c r="H72" s="160" t="s">
        <v>12</v>
      </c>
      <c r="I72" s="57"/>
      <c r="J72" s="57"/>
      <c r="K72" s="58"/>
      <c r="L72" s="161">
        <f ca="1">L73+L74</f>
        <v>0</v>
      </c>
      <c r="M72" s="161">
        <f ca="1">M73+M74</f>
        <v>0</v>
      </c>
      <c r="N72" s="161">
        <f ca="1">N73+N74</f>
        <v>0</v>
      </c>
      <c r="O72" s="161">
        <f t="shared" ref="O72:O80" ca="1" si="11">IF(L72&gt;0,N72*100/L72,0)</f>
        <v>0</v>
      </c>
      <c r="P72" s="161">
        <f t="shared" ref="P72:P80" ca="1" si="12">IF(M72&gt;0,N72*100/M72,0)</f>
        <v>0</v>
      </c>
    </row>
    <row r="73" spans="1:16" ht="18.75" hidden="1" x14ac:dyDescent="0.25">
      <c r="A73" s="521"/>
      <c r="B73" s="506"/>
      <c r="C73" s="506"/>
      <c r="D73" s="506"/>
      <c r="E73" s="520" t="s">
        <v>18</v>
      </c>
      <c r="F73" s="506"/>
      <c r="G73" s="505"/>
      <c r="H73" s="524" t="s">
        <v>12</v>
      </c>
      <c r="I73" s="199"/>
      <c r="J73" s="199"/>
      <c r="K73" s="501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157"/>
      <c r="B74" s="53"/>
      <c r="C74" s="53"/>
      <c r="D74" s="53"/>
      <c r="E74" s="336" t="s">
        <v>19</v>
      </c>
      <c r="F74" s="53"/>
      <c r="G74" s="55"/>
      <c r="H74" s="162" t="s">
        <v>12</v>
      </c>
      <c r="I74" s="57"/>
      <c r="J74" s="57"/>
      <c r="K74" s="58"/>
      <c r="L74" s="61">
        <f t="shared" ca="1" si="13"/>
        <v>0</v>
      </c>
      <c r="M74" s="61">
        <f t="shared" ca="1" si="13"/>
        <v>0</v>
      </c>
      <c r="N74" s="61">
        <f t="shared" ca="1" si="13"/>
        <v>0</v>
      </c>
      <c r="O74" s="61">
        <f t="shared" ca="1" si="11"/>
        <v>0</v>
      </c>
      <c r="P74" s="61">
        <f t="shared" ca="1" si="12"/>
        <v>0</v>
      </c>
    </row>
    <row r="75" spans="1:16" ht="18.75" hidden="1" x14ac:dyDescent="0.25">
      <c r="A75" s="157"/>
      <c r="B75" s="53"/>
      <c r="C75" s="53"/>
      <c r="D75" s="553" t="s">
        <v>20</v>
      </c>
      <c r="E75" s="53"/>
      <c r="F75" s="53"/>
      <c r="G75" s="55"/>
      <c r="H75" s="163" t="s">
        <v>12</v>
      </c>
      <c r="I75" s="164"/>
      <c r="J75" s="164"/>
      <c r="K75" s="165"/>
      <c r="L75" s="61">
        <f ca="1">L76+L77</f>
        <v>0</v>
      </c>
      <c r="M75" s="61">
        <f ca="1">M76+M77</f>
        <v>0</v>
      </c>
      <c r="N75" s="61">
        <f ca="1">N76+N77</f>
        <v>0</v>
      </c>
      <c r="O75" s="61">
        <f t="shared" ca="1" si="11"/>
        <v>0</v>
      </c>
      <c r="P75" s="61">
        <f t="shared" ca="1" si="12"/>
        <v>0</v>
      </c>
    </row>
    <row r="76" spans="1:16" ht="18.75" hidden="1" x14ac:dyDescent="0.25">
      <c r="A76" s="521"/>
      <c r="B76" s="506"/>
      <c r="C76" s="506"/>
      <c r="D76" s="506"/>
      <c r="E76" s="520" t="s">
        <v>34</v>
      </c>
      <c r="F76" s="506"/>
      <c r="G76" s="505"/>
      <c r="H76" s="522" t="s">
        <v>12</v>
      </c>
      <c r="I76" s="512"/>
      <c r="J76" s="512"/>
      <c r="K76" s="511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157"/>
      <c r="B77" s="53"/>
      <c r="C77" s="53"/>
      <c r="D77" s="53"/>
      <c r="E77" s="336" t="s">
        <v>35</v>
      </c>
      <c r="F77" s="53"/>
      <c r="G77" s="55"/>
      <c r="H77" s="163" t="s">
        <v>12</v>
      </c>
      <c r="I77" s="164"/>
      <c r="J77" s="164"/>
      <c r="K77" s="165"/>
      <c r="L77" s="61">
        <f ca="1">IFERROR(__xludf.DUMMYFUNCTION("IMPORTRANGE(""https://docs.google.com/spreadsheets/d/1-uDff_7J0KD5mKrp0Vvzr7lt3OU09vwQwhkpOPPYv2Y/edit?usp=sharing"",""งบพรบ!AM53"")"),0)</f>
        <v>0</v>
      </c>
      <c r="M77" s="61">
        <f ca="1">IFERROR(__xludf.DUMMYFUNCTION("IMPORTRANGE(""https://docs.google.com/spreadsheets/d/1-uDff_7J0KD5mKrp0Vvzr7lt3OU09vwQwhkpOPPYv2Y/edit?usp=sharing"",""งบพรบ!AR53"")"),0)</f>
        <v>0</v>
      </c>
      <c r="N77" s="61">
        <f ca="1">IFERROR(__xludf.DUMMYFUNCTION("IMPORTRANGE(""https://docs.google.com/spreadsheets/d/1-uDff_7J0KD5mKrp0Vvzr7lt3OU09vwQwhkpOPPYv2Y/edit?usp=sharing"",""งบพรบ!AT53"")"),0)</f>
        <v>0</v>
      </c>
      <c r="O77" s="61">
        <f t="shared" ca="1" si="11"/>
        <v>0</v>
      </c>
      <c r="P77" s="61">
        <f t="shared" ca="1" si="12"/>
        <v>0</v>
      </c>
    </row>
    <row r="78" spans="1:16" ht="18.75" hidden="1" x14ac:dyDescent="0.25">
      <c r="A78" s="157"/>
      <c r="B78" s="53"/>
      <c r="C78" s="53"/>
      <c r="D78" s="553" t="s">
        <v>21</v>
      </c>
      <c r="E78" s="53"/>
      <c r="F78" s="53"/>
      <c r="G78" s="55"/>
      <c r="H78" s="166" t="s">
        <v>12</v>
      </c>
      <c r="I78" s="164"/>
      <c r="J78" s="164"/>
      <c r="K78" s="165"/>
      <c r="L78" s="61">
        <f ca="1">L79+L80</f>
        <v>0</v>
      </c>
      <c r="M78" s="61">
        <f ca="1">M79+M80</f>
        <v>0</v>
      </c>
      <c r="N78" s="61">
        <f ca="1">N79+N80</f>
        <v>0</v>
      </c>
      <c r="O78" s="61">
        <f t="shared" ca="1" si="11"/>
        <v>0</v>
      </c>
      <c r="P78" s="61">
        <f t="shared" ca="1" si="12"/>
        <v>0</v>
      </c>
    </row>
    <row r="79" spans="1:16" ht="18.75" hidden="1" x14ac:dyDescent="0.25">
      <c r="A79" s="521"/>
      <c r="B79" s="506"/>
      <c r="C79" s="506"/>
      <c r="D79" s="506"/>
      <c r="E79" s="520" t="s">
        <v>18</v>
      </c>
      <c r="F79" s="506"/>
      <c r="G79" s="505"/>
      <c r="H79" s="522" t="s">
        <v>12</v>
      </c>
      <c r="I79" s="512"/>
      <c r="J79" s="512"/>
      <c r="K79" s="511"/>
      <c r="L79" s="502">
        <v>0</v>
      </c>
      <c r="M79" s="501"/>
      <c r="N79" s="501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157"/>
      <c r="B80" s="53"/>
      <c r="C80" s="53"/>
      <c r="D80" s="53"/>
      <c r="E80" s="336" t="s">
        <v>19</v>
      </c>
      <c r="F80" s="53"/>
      <c r="G80" s="55"/>
      <c r="H80" s="166" t="s">
        <v>12</v>
      </c>
      <c r="I80" s="164"/>
      <c r="J80" s="164"/>
      <c r="K80" s="165"/>
      <c r="L80" s="61">
        <f ca="1">IFERROR(__xludf.DUMMYFUNCTION("IMPORTRANGE(""https://docs.google.com/spreadsheets/d/1-uDff_7J0KD5mKrp0Vvzr7lt3OU09vwQwhkpOPPYv2Y/edit?usp=sharing"",""งบพรบ!AP53"")"),0)</f>
        <v>0</v>
      </c>
      <c r="M80" s="61">
        <f ca="1">IFERROR(__xludf.DUMMYFUNCTION("IMPORTRANGE(""https://docs.google.com/spreadsheets/d/1-uDff_7J0KD5mKrp0Vvzr7lt3OU09vwQwhkpOPPYv2Y/edit?usp=sharing"",""งบพรบ!AS53"")"),0)</f>
        <v>0</v>
      </c>
      <c r="N80" s="61">
        <f ca="1">IFERROR(__xludf.DUMMYFUNCTION("IMPORTRANGE(""https://docs.google.com/spreadsheets/d/1-uDff_7J0KD5mKrp0Vvzr7lt3OU09vwQwhkpOPPYv2Y/edit?usp=sharing"",""งบพรบ!AU53"")"),0)</f>
        <v>0</v>
      </c>
      <c r="O80" s="61">
        <f t="shared" ca="1" si="11"/>
        <v>0</v>
      </c>
      <c r="P80" s="61">
        <f t="shared" ca="1" si="12"/>
        <v>0</v>
      </c>
    </row>
    <row r="81" spans="1:16" ht="19.5" hidden="1" x14ac:dyDescent="0.3">
      <c r="A81" s="167"/>
      <c r="B81" s="168"/>
      <c r="C81" s="158" t="s">
        <v>16</v>
      </c>
      <c r="D81" s="551" t="s">
        <v>36</v>
      </c>
      <c r="E81" s="170"/>
      <c r="F81" s="170"/>
      <c r="G81" s="171"/>
      <c r="H81" s="172"/>
      <c r="I81" s="164"/>
      <c r="J81" s="164"/>
      <c r="K81" s="165"/>
      <c r="L81" s="165"/>
      <c r="M81" s="165"/>
      <c r="N81" s="165"/>
      <c r="O81" s="165"/>
      <c r="P81" s="165"/>
    </row>
    <row r="82" spans="1:16" ht="19.5" hidden="1" x14ac:dyDescent="0.3">
      <c r="A82" s="167"/>
      <c r="B82" s="168"/>
      <c r="C82" s="168"/>
      <c r="D82" s="449" t="s">
        <v>37</v>
      </c>
      <c r="E82" s="174"/>
      <c r="F82" s="174"/>
      <c r="G82" s="172"/>
      <c r="H82" s="175" t="s">
        <v>32</v>
      </c>
      <c r="I82" s="176">
        <f ca="1">I84+I86+I88</f>
        <v>0</v>
      </c>
      <c r="J82" s="176">
        <f>J84+J86+J88</f>
        <v>0</v>
      </c>
      <c r="K82" s="177">
        <f t="shared" ref="K82:K90" ca="1" si="14">IF(I82&gt;0,J82*100/I82,0)</f>
        <v>0</v>
      </c>
      <c r="L82" s="165"/>
      <c r="M82" s="165"/>
      <c r="N82" s="165"/>
      <c r="O82" s="165"/>
      <c r="P82" s="165"/>
    </row>
    <row r="83" spans="1:16" ht="19.5" hidden="1" x14ac:dyDescent="0.3">
      <c r="A83" s="167"/>
      <c r="B83" s="168"/>
      <c r="C83" s="168"/>
      <c r="D83" s="168"/>
      <c r="E83" s="174"/>
      <c r="F83" s="174"/>
      <c r="G83" s="172"/>
      <c r="H83" s="175" t="s">
        <v>33</v>
      </c>
      <c r="I83" s="176">
        <f ca="1">I85+I87+I89</f>
        <v>0</v>
      </c>
      <c r="J83" s="176">
        <f>J85+J87+J89</f>
        <v>0</v>
      </c>
      <c r="K83" s="177">
        <f t="shared" ca="1" si="14"/>
        <v>0</v>
      </c>
      <c r="L83" s="165"/>
      <c r="M83" s="165"/>
      <c r="N83" s="165"/>
      <c r="O83" s="165"/>
      <c r="P83" s="165"/>
    </row>
    <row r="84" spans="1:16" ht="18.75" hidden="1" x14ac:dyDescent="0.25">
      <c r="A84" s="167"/>
      <c r="B84" s="168"/>
      <c r="C84" s="168"/>
      <c r="D84" s="168"/>
      <c r="E84" s="195" t="s">
        <v>38</v>
      </c>
      <c r="F84" s="174"/>
      <c r="G84" s="172"/>
      <c r="H84" s="297" t="s">
        <v>32</v>
      </c>
      <c r="I84" s="184">
        <f ca="1">IFERROR(__xludf.DUMMYFUNCTION("IMPORTRANGE(""https://docs.google.com/spreadsheets/d/1eHaY18a8A9IcSdp1K8H6x8fbOy06t2VsZHhMHf-1x7Y/edit?usp=sharing"",""แผน!H53"")"),0)</f>
        <v>0</v>
      </c>
      <c r="J84" s="558">
        <v>0</v>
      </c>
      <c r="K84" s="183">
        <f t="shared" ca="1" si="14"/>
        <v>0</v>
      </c>
      <c r="L84" s="165"/>
      <c r="M84" s="165"/>
      <c r="N84" s="165"/>
      <c r="O84" s="165"/>
      <c r="P84" s="165"/>
    </row>
    <row r="85" spans="1:16" ht="18.75" hidden="1" x14ac:dyDescent="0.25">
      <c r="A85" s="167"/>
      <c r="B85" s="168"/>
      <c r="C85" s="168"/>
      <c r="D85" s="168"/>
      <c r="E85" s="174"/>
      <c r="F85" s="174"/>
      <c r="G85" s="172"/>
      <c r="H85" s="297" t="s">
        <v>33</v>
      </c>
      <c r="I85" s="184">
        <f ca="1">IFERROR(__xludf.DUMMYFUNCTION("IMPORTRANGE(""https://docs.google.com/spreadsheets/d/1eHaY18a8A9IcSdp1K8H6x8fbOy06t2VsZHhMHf-1x7Y/edit?usp=sharing"",""แผน!I53"")"),0)</f>
        <v>0</v>
      </c>
      <c r="J85" s="558">
        <v>0</v>
      </c>
      <c r="K85" s="183">
        <f t="shared" ca="1" si="14"/>
        <v>0</v>
      </c>
      <c r="L85" s="165"/>
      <c r="M85" s="165"/>
      <c r="N85" s="165"/>
      <c r="O85" s="165"/>
      <c r="P85" s="165"/>
    </row>
    <row r="86" spans="1:16" ht="18.75" hidden="1" x14ac:dyDescent="0.25">
      <c r="A86" s="167"/>
      <c r="B86" s="168"/>
      <c r="C86" s="168"/>
      <c r="D86" s="168"/>
      <c r="E86" s="195" t="s">
        <v>39</v>
      </c>
      <c r="F86" s="174"/>
      <c r="G86" s="172"/>
      <c r="H86" s="297" t="s">
        <v>32</v>
      </c>
      <c r="I86" s="184">
        <f ca="1">IFERROR(__xludf.DUMMYFUNCTION("IMPORTRANGE(""https://docs.google.com/spreadsheets/d/1eHaY18a8A9IcSdp1K8H6x8fbOy06t2VsZHhMHf-1x7Y/edit?usp=sharing"",""แผน!F53"")"),0)</f>
        <v>0</v>
      </c>
      <c r="J86" s="558">
        <v>0</v>
      </c>
      <c r="K86" s="183">
        <f t="shared" ca="1" si="14"/>
        <v>0</v>
      </c>
      <c r="L86" s="165"/>
      <c r="M86" s="165"/>
      <c r="N86" s="165"/>
      <c r="O86" s="165"/>
      <c r="P86" s="165"/>
    </row>
    <row r="87" spans="1:16" ht="18.75" hidden="1" x14ac:dyDescent="0.25">
      <c r="A87" s="167"/>
      <c r="B87" s="168"/>
      <c r="C87" s="168"/>
      <c r="D87" s="168"/>
      <c r="E87" s="174"/>
      <c r="F87" s="174"/>
      <c r="G87" s="172"/>
      <c r="H87" s="297" t="s">
        <v>33</v>
      </c>
      <c r="I87" s="184">
        <f ca="1">IFERROR(__xludf.DUMMYFUNCTION("IMPORTRANGE(""https://docs.google.com/spreadsheets/d/1eHaY18a8A9IcSdp1K8H6x8fbOy06t2VsZHhMHf-1x7Y/edit?usp=sharing"",""แผน!G53"")"),0)</f>
        <v>0</v>
      </c>
      <c r="J87" s="558">
        <v>0</v>
      </c>
      <c r="K87" s="183">
        <f t="shared" ca="1" si="14"/>
        <v>0</v>
      </c>
      <c r="L87" s="165"/>
      <c r="M87" s="165"/>
      <c r="N87" s="165"/>
      <c r="O87" s="165"/>
      <c r="P87" s="165"/>
    </row>
    <row r="88" spans="1:16" ht="18.75" hidden="1" x14ac:dyDescent="0.25">
      <c r="A88" s="167"/>
      <c r="B88" s="168"/>
      <c r="C88" s="168"/>
      <c r="D88" s="168"/>
      <c r="E88" s="195" t="s">
        <v>40</v>
      </c>
      <c r="F88" s="174"/>
      <c r="G88" s="172"/>
      <c r="H88" s="297" t="s">
        <v>32</v>
      </c>
      <c r="I88" s="184">
        <f ca="1">IFERROR(__xludf.DUMMYFUNCTION("IMPORTRANGE(""https://docs.google.com/spreadsheets/d/1eHaY18a8A9IcSdp1K8H6x8fbOy06t2VsZHhMHf-1x7Y/edit?usp=sharing"",""แผน!D53"")"),0)</f>
        <v>0</v>
      </c>
      <c r="J88" s="558">
        <v>0</v>
      </c>
      <c r="K88" s="183">
        <f t="shared" ca="1" si="14"/>
        <v>0</v>
      </c>
      <c r="L88" s="165"/>
      <c r="M88" s="165"/>
      <c r="N88" s="165"/>
      <c r="O88" s="165"/>
      <c r="P88" s="165"/>
    </row>
    <row r="89" spans="1:16" ht="18.75" hidden="1" x14ac:dyDescent="0.25">
      <c r="A89" s="167"/>
      <c r="B89" s="168"/>
      <c r="C89" s="168"/>
      <c r="D89" s="168"/>
      <c r="E89" s="174"/>
      <c r="F89" s="174"/>
      <c r="G89" s="172"/>
      <c r="H89" s="297" t="s">
        <v>33</v>
      </c>
      <c r="I89" s="184">
        <f ca="1">IFERROR(__xludf.DUMMYFUNCTION("IMPORTRANGE(""https://docs.google.com/spreadsheets/d/1eHaY18a8A9IcSdp1K8H6x8fbOy06t2VsZHhMHf-1x7Y/edit?usp=sharing"",""แผน!E53"")"),0)</f>
        <v>0</v>
      </c>
      <c r="J89" s="558">
        <v>0</v>
      </c>
      <c r="K89" s="183">
        <f t="shared" ca="1" si="14"/>
        <v>0</v>
      </c>
      <c r="L89" s="165"/>
      <c r="M89" s="165"/>
      <c r="N89" s="165"/>
      <c r="O89" s="165"/>
      <c r="P89" s="165"/>
    </row>
    <row r="90" spans="1:16" ht="18.75" hidden="1" x14ac:dyDescent="0.25">
      <c r="A90" s="167"/>
      <c r="B90" s="168"/>
      <c r="C90" s="168"/>
      <c r="D90" s="449" t="s">
        <v>41</v>
      </c>
      <c r="E90" s="174"/>
      <c r="F90" s="174"/>
      <c r="G90" s="172"/>
      <c r="H90" s="185" t="s">
        <v>32</v>
      </c>
      <c r="I90" s="184">
        <f ca="1">IFERROR(__xludf.DUMMYFUNCTION("IMPORTRANGE(""https://docs.google.com/spreadsheets/d/1eHaY18a8A9IcSdp1K8H6x8fbOy06t2VsZHhMHf-1x7Y/edit?usp=sharing"",""แผน!J53"")"),0)</f>
        <v>0</v>
      </c>
      <c r="J90" s="558">
        <v>0</v>
      </c>
      <c r="K90" s="183">
        <f t="shared" ca="1" si="14"/>
        <v>0</v>
      </c>
      <c r="L90" s="165"/>
      <c r="M90" s="165"/>
      <c r="N90" s="165"/>
      <c r="O90" s="165"/>
      <c r="P90" s="165"/>
    </row>
    <row r="91" spans="1:16" ht="19.5" hidden="1" x14ac:dyDescent="0.3">
      <c r="A91" s="146" t="s">
        <v>42</v>
      </c>
      <c r="B91" s="147"/>
      <c r="C91" s="148"/>
      <c r="D91" s="147"/>
      <c r="E91" s="147"/>
      <c r="F91" s="147"/>
      <c r="G91" s="149"/>
      <c r="H91" s="149"/>
      <c r="I91" s="150"/>
      <c r="J91" s="150"/>
      <c r="K91" s="151"/>
      <c r="L91" s="151"/>
      <c r="M91" s="151"/>
      <c r="N91" s="151"/>
      <c r="O91" s="151"/>
      <c r="P91" s="151"/>
    </row>
    <row r="92" spans="1:16" ht="19.5" hidden="1" x14ac:dyDescent="0.3">
      <c r="A92" s="152"/>
      <c r="B92" s="153" t="s">
        <v>43</v>
      </c>
      <c r="C92" s="41"/>
      <c r="D92" s="154"/>
      <c r="E92" s="41"/>
      <c r="F92" s="41"/>
      <c r="G92" s="44"/>
      <c r="H92" s="226" t="s">
        <v>44</v>
      </c>
      <c r="I92" s="156">
        <f ca="1">I108</f>
        <v>0</v>
      </c>
      <c r="J92" s="156">
        <f>J108</f>
        <v>0</v>
      </c>
      <c r="K92" s="48">
        <f ca="1">IF(I92&gt;0,J92*100/I92,0)</f>
        <v>0</v>
      </c>
      <c r="L92" s="47"/>
      <c r="M92" s="47"/>
      <c r="N92" s="47"/>
      <c r="O92" s="47"/>
      <c r="P92" s="47"/>
    </row>
    <row r="93" spans="1:16" ht="19.5" hidden="1" x14ac:dyDescent="0.3">
      <c r="A93" s="152"/>
      <c r="B93" s="41"/>
      <c r="C93" s="41"/>
      <c r="D93" s="154"/>
      <c r="E93" s="41"/>
      <c r="F93" s="41"/>
      <c r="G93" s="44"/>
      <c r="H93" s="226" t="s">
        <v>33</v>
      </c>
      <c r="I93" s="156">
        <f ca="1">I109</f>
        <v>0</v>
      </c>
      <c r="J93" s="156">
        <f>J109</f>
        <v>0</v>
      </c>
      <c r="K93" s="48">
        <f ca="1">IF(I93&gt;0,J93*100/I93,0)</f>
        <v>0</v>
      </c>
      <c r="L93" s="47"/>
      <c r="M93" s="47"/>
      <c r="N93" s="47"/>
      <c r="O93" s="47"/>
      <c r="P93" s="47"/>
    </row>
    <row r="94" spans="1:16" ht="19.5" hidden="1" x14ac:dyDescent="0.3">
      <c r="A94" s="157"/>
      <c r="B94" s="53"/>
      <c r="C94" s="158" t="s">
        <v>16</v>
      </c>
      <c r="D94" s="554" t="s">
        <v>17</v>
      </c>
      <c r="E94" s="53"/>
      <c r="F94" s="53"/>
      <c r="G94" s="55"/>
      <c r="H94" s="160" t="s">
        <v>12</v>
      </c>
      <c r="I94" s="57"/>
      <c r="J94" s="57"/>
      <c r="K94" s="58"/>
      <c r="L94" s="161">
        <f ca="1">L95+L96</f>
        <v>0</v>
      </c>
      <c r="M94" s="161">
        <f ca="1">M95+M96</f>
        <v>0</v>
      </c>
      <c r="N94" s="161">
        <f ca="1">N95+N96</f>
        <v>0</v>
      </c>
      <c r="O94" s="161">
        <f t="shared" ref="O94:O102" ca="1" si="15">IF(L94&gt;0,N94*100/L94,0)</f>
        <v>0</v>
      </c>
      <c r="P94" s="161">
        <f t="shared" ref="P94:P102" ca="1" si="16">IF(M94&gt;0,N94*100/M94,0)</f>
        <v>0</v>
      </c>
    </row>
    <row r="95" spans="1:16" ht="18.75" hidden="1" x14ac:dyDescent="0.25">
      <c r="A95" s="521"/>
      <c r="B95" s="506"/>
      <c r="C95" s="506"/>
      <c r="D95" s="506"/>
      <c r="E95" s="520" t="s">
        <v>18</v>
      </c>
      <c r="F95" s="506"/>
      <c r="G95" s="505"/>
      <c r="H95" s="524" t="s">
        <v>12</v>
      </c>
      <c r="I95" s="199"/>
      <c r="J95" s="199"/>
      <c r="K95" s="501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157"/>
      <c r="B96" s="53"/>
      <c r="C96" s="53"/>
      <c r="D96" s="53"/>
      <c r="E96" s="336" t="s">
        <v>19</v>
      </c>
      <c r="F96" s="53"/>
      <c r="G96" s="55"/>
      <c r="H96" s="162" t="s">
        <v>12</v>
      </c>
      <c r="I96" s="57"/>
      <c r="J96" s="57"/>
      <c r="K96" s="58"/>
      <c r="L96" s="61">
        <f t="shared" ca="1" si="17"/>
        <v>0</v>
      </c>
      <c r="M96" s="61">
        <f t="shared" ca="1" si="17"/>
        <v>0</v>
      </c>
      <c r="N96" s="61">
        <f t="shared" ca="1" si="17"/>
        <v>0</v>
      </c>
      <c r="O96" s="61">
        <f t="shared" ca="1" si="15"/>
        <v>0</v>
      </c>
      <c r="P96" s="61">
        <f t="shared" ca="1" si="16"/>
        <v>0</v>
      </c>
    </row>
    <row r="97" spans="1:16" ht="18.75" hidden="1" x14ac:dyDescent="0.25">
      <c r="A97" s="157"/>
      <c r="B97" s="53"/>
      <c r="C97" s="53"/>
      <c r="D97" s="553" t="s">
        <v>20</v>
      </c>
      <c r="E97" s="53"/>
      <c r="F97" s="53"/>
      <c r="G97" s="55"/>
      <c r="H97" s="163" t="s">
        <v>12</v>
      </c>
      <c r="I97" s="164"/>
      <c r="J97" s="164"/>
      <c r="K97" s="165"/>
      <c r="L97" s="61">
        <f ca="1">L98+L99</f>
        <v>0</v>
      </c>
      <c r="M97" s="61">
        <f ca="1">M98+M99</f>
        <v>0</v>
      </c>
      <c r="N97" s="61">
        <f ca="1">N98+N99</f>
        <v>0</v>
      </c>
      <c r="O97" s="61">
        <f t="shared" ca="1" si="15"/>
        <v>0</v>
      </c>
      <c r="P97" s="61">
        <f t="shared" ca="1" si="16"/>
        <v>0</v>
      </c>
    </row>
    <row r="98" spans="1:16" ht="18.75" hidden="1" x14ac:dyDescent="0.25">
      <c r="A98" s="521"/>
      <c r="B98" s="506"/>
      <c r="C98" s="506"/>
      <c r="D98" s="506"/>
      <c r="E98" s="520" t="s">
        <v>34</v>
      </c>
      <c r="F98" s="506"/>
      <c r="G98" s="505"/>
      <c r="H98" s="522" t="s">
        <v>12</v>
      </c>
      <c r="I98" s="512"/>
      <c r="J98" s="512"/>
      <c r="K98" s="511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157"/>
      <c r="B99" s="53"/>
      <c r="C99" s="53"/>
      <c r="D99" s="53"/>
      <c r="E99" s="336" t="s">
        <v>35</v>
      </c>
      <c r="F99" s="53"/>
      <c r="G99" s="55"/>
      <c r="H99" s="163" t="s">
        <v>12</v>
      </c>
      <c r="I99" s="164"/>
      <c r="J99" s="164"/>
      <c r="K99" s="165"/>
      <c r="L99" s="61">
        <f ca="1">IFERROR(__xludf.DUMMYFUNCTION("IMPORTRANGE(""https://docs.google.com/spreadsheets/d/1-uDff_7J0KD5mKrp0Vvzr7lt3OU09vwQwhkpOPPYv2Y/edit?usp=sharing"",""งบพรบ!AW53"")"),0)</f>
        <v>0</v>
      </c>
      <c r="M99" s="61">
        <f ca="1">IFERROR(__xludf.DUMMYFUNCTION("IMPORTRANGE(""https://docs.google.com/spreadsheets/d/1-uDff_7J0KD5mKrp0Vvzr7lt3OU09vwQwhkpOPPYv2Y/edit?usp=sharing"",""งบพรบ!BB53"")"),0)</f>
        <v>0</v>
      </c>
      <c r="N99" s="61">
        <f ca="1">IFERROR(__xludf.DUMMYFUNCTION("IMPORTRANGE(""https://docs.google.com/spreadsheets/d/1-uDff_7J0KD5mKrp0Vvzr7lt3OU09vwQwhkpOPPYv2Y/edit?usp=sharing"",""งบพรบ!BD53"")"),0)</f>
        <v>0</v>
      </c>
      <c r="O99" s="61">
        <f t="shared" ca="1" si="15"/>
        <v>0</v>
      </c>
      <c r="P99" s="61">
        <f t="shared" ca="1" si="16"/>
        <v>0</v>
      </c>
    </row>
    <row r="100" spans="1:16" ht="18.75" hidden="1" x14ac:dyDescent="0.25">
      <c r="A100" s="157"/>
      <c r="B100" s="53"/>
      <c r="C100" s="53"/>
      <c r="D100" s="553" t="s">
        <v>21</v>
      </c>
      <c r="E100" s="53"/>
      <c r="F100" s="53"/>
      <c r="G100" s="55"/>
      <c r="H100" s="166" t="s">
        <v>12</v>
      </c>
      <c r="I100" s="164"/>
      <c r="J100" s="164"/>
      <c r="K100" s="165"/>
      <c r="L100" s="61">
        <f ca="1">L101+L102</f>
        <v>0</v>
      </c>
      <c r="M100" s="61">
        <f ca="1">M101+M102</f>
        <v>0</v>
      </c>
      <c r="N100" s="61">
        <f ca="1">N101+N102</f>
        <v>0</v>
      </c>
      <c r="O100" s="61">
        <f t="shared" ca="1" si="15"/>
        <v>0</v>
      </c>
      <c r="P100" s="61">
        <f t="shared" ca="1" si="16"/>
        <v>0</v>
      </c>
    </row>
    <row r="101" spans="1:16" ht="18.75" hidden="1" x14ac:dyDescent="0.25">
      <c r="A101" s="521"/>
      <c r="B101" s="506"/>
      <c r="C101" s="506"/>
      <c r="D101" s="506"/>
      <c r="E101" s="520" t="s">
        <v>18</v>
      </c>
      <c r="F101" s="506"/>
      <c r="G101" s="505"/>
      <c r="H101" s="522" t="s">
        <v>12</v>
      </c>
      <c r="I101" s="512"/>
      <c r="J101" s="512"/>
      <c r="K101" s="511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157"/>
      <c r="B102" s="53"/>
      <c r="C102" s="53"/>
      <c r="D102" s="53"/>
      <c r="E102" s="336" t="s">
        <v>19</v>
      </c>
      <c r="F102" s="53"/>
      <c r="G102" s="55"/>
      <c r="H102" s="166" t="s">
        <v>12</v>
      </c>
      <c r="I102" s="164"/>
      <c r="J102" s="164"/>
      <c r="K102" s="165"/>
      <c r="L102" s="61">
        <f ca="1">IFERROR(__xludf.DUMMYFUNCTION("IMPORTRANGE(""https://docs.google.com/spreadsheets/d/1-uDff_7J0KD5mKrp0Vvzr7lt3OU09vwQwhkpOPPYv2Y/edit?usp=sharing"",""งบพรบ!AZ53"")"),0)</f>
        <v>0</v>
      </c>
      <c r="M102" s="61">
        <f ca="1">IFERROR(__xludf.DUMMYFUNCTION("IMPORTRANGE(""https://docs.google.com/spreadsheets/d/1-uDff_7J0KD5mKrp0Vvzr7lt3OU09vwQwhkpOPPYv2Y/edit?usp=sharing"",""งบพรบ!BC53"")"),0)</f>
        <v>0</v>
      </c>
      <c r="N102" s="61">
        <f ca="1">IFERROR(__xludf.DUMMYFUNCTION("IMPORTRANGE(""https://docs.google.com/spreadsheets/d/1-uDff_7J0KD5mKrp0Vvzr7lt3OU09vwQwhkpOPPYv2Y/edit?usp=sharing"",""งบพรบ!BE53"")"),0)</f>
        <v>0</v>
      </c>
      <c r="O102" s="61">
        <f t="shared" ca="1" si="15"/>
        <v>0</v>
      </c>
      <c r="P102" s="61">
        <f t="shared" ca="1" si="16"/>
        <v>0</v>
      </c>
    </row>
    <row r="103" spans="1:16" ht="19.5" hidden="1" x14ac:dyDescent="0.3">
      <c r="A103" s="167"/>
      <c r="B103" s="168"/>
      <c r="C103" s="158" t="s">
        <v>16</v>
      </c>
      <c r="D103" s="551" t="s">
        <v>36</v>
      </c>
      <c r="E103" s="170"/>
      <c r="F103" s="170"/>
      <c r="G103" s="171"/>
      <c r="H103" s="172"/>
      <c r="I103" s="164"/>
      <c r="J103" s="57"/>
      <c r="K103" s="58"/>
      <c r="L103" s="58"/>
      <c r="M103" s="58"/>
      <c r="N103" s="58"/>
      <c r="O103" s="165"/>
      <c r="P103" s="165"/>
    </row>
    <row r="104" spans="1:16" ht="18.75" hidden="1" x14ac:dyDescent="0.25">
      <c r="A104" s="186"/>
      <c r="B104" s="187"/>
      <c r="C104" s="187"/>
      <c r="D104" s="188"/>
      <c r="E104" s="189"/>
      <c r="F104" s="189"/>
      <c r="G104" s="190"/>
      <c r="H104" s="191"/>
      <c r="I104" s="192"/>
      <c r="J104" s="192"/>
      <c r="K104" s="193"/>
      <c r="L104" s="200"/>
      <c r="M104" s="200"/>
      <c r="N104" s="200"/>
      <c r="O104" s="200"/>
      <c r="P104" s="200"/>
    </row>
    <row r="105" spans="1:16" ht="18.75" hidden="1" x14ac:dyDescent="0.25">
      <c r="A105" s="186"/>
      <c r="B105" s="187"/>
      <c r="C105" s="187"/>
      <c r="D105" s="188"/>
      <c r="E105" s="189"/>
      <c r="F105" s="189"/>
      <c r="G105" s="190"/>
      <c r="H105" s="191"/>
      <c r="I105" s="192"/>
      <c r="J105" s="192"/>
      <c r="K105" s="193"/>
      <c r="L105" s="200"/>
      <c r="M105" s="200"/>
      <c r="N105" s="200"/>
      <c r="O105" s="200"/>
      <c r="P105" s="200"/>
    </row>
    <row r="106" spans="1:16" ht="18.75" hidden="1" x14ac:dyDescent="0.25">
      <c r="A106" s="186"/>
      <c r="B106" s="187"/>
      <c r="C106" s="187"/>
      <c r="D106" s="187"/>
      <c r="E106" s="189"/>
      <c r="F106" s="189"/>
      <c r="G106" s="190"/>
      <c r="H106" s="191"/>
      <c r="I106" s="192"/>
      <c r="J106" s="192"/>
      <c r="K106" s="193"/>
      <c r="L106" s="200"/>
      <c r="M106" s="200"/>
      <c r="N106" s="200"/>
      <c r="O106" s="200"/>
      <c r="P106" s="200"/>
    </row>
    <row r="107" spans="1:16" ht="19.5" hidden="1" x14ac:dyDescent="0.3">
      <c r="A107" s="167"/>
      <c r="B107" s="168"/>
      <c r="C107" s="168"/>
      <c r="D107" s="370" t="s">
        <v>45</v>
      </c>
      <c r="F107" s="174"/>
      <c r="G107" s="172"/>
      <c r="H107" s="55"/>
      <c r="I107" s="57"/>
      <c r="J107" s="57"/>
      <c r="K107" s="58"/>
      <c r="L107" s="58"/>
      <c r="M107" s="58"/>
      <c r="N107" s="58"/>
      <c r="O107" s="165"/>
      <c r="P107" s="165"/>
    </row>
    <row r="108" spans="1:16" ht="18.75" hidden="1" x14ac:dyDescent="0.25">
      <c r="A108" s="167"/>
      <c r="B108" s="168"/>
      <c r="C108" s="168"/>
      <c r="D108" s="195" t="s">
        <v>46</v>
      </c>
      <c r="E108" s="195"/>
      <c r="F108" s="174"/>
      <c r="G108" s="172"/>
      <c r="H108" s="56" t="s">
        <v>44</v>
      </c>
      <c r="I108" s="196">
        <f ca="1">IFERROR(__xludf.DUMMYFUNCTION("IMPORTRANGE(""https://docs.google.com/spreadsheets/d/1eHaY18a8A9IcSdp1K8H6x8fbOy06t2VsZHhMHf-1x7Y/edit?usp=sharing"",""แผน!N53"")"),0)</f>
        <v>0</v>
      </c>
      <c r="J108" s="558">
        <v>0</v>
      </c>
      <c r="K108" s="61">
        <f ca="1">IF(I108&gt;0,J108*100/I108,0)</f>
        <v>0</v>
      </c>
      <c r="L108" s="58"/>
      <c r="M108" s="58"/>
      <c r="N108" s="58"/>
      <c r="O108" s="165"/>
      <c r="P108" s="165"/>
    </row>
    <row r="109" spans="1:16" ht="18.75" hidden="1" x14ac:dyDescent="0.25">
      <c r="A109" s="167"/>
      <c r="B109" s="168"/>
      <c r="C109" s="168"/>
      <c r="D109" s="195" t="s">
        <v>47</v>
      </c>
      <c r="E109" s="195"/>
      <c r="F109" s="174"/>
      <c r="G109" s="172"/>
      <c r="H109" s="56" t="s">
        <v>33</v>
      </c>
      <c r="I109" s="196">
        <f ca="1">IFERROR(__xludf.DUMMYFUNCTION("IMPORTRANGE(""https://docs.google.com/spreadsheets/d/1eHaY18a8A9IcSdp1K8H6x8fbOy06t2VsZHhMHf-1x7Y/edit?usp=sharing"",""แผน!O53"")"),0)</f>
        <v>0</v>
      </c>
      <c r="J109" s="558">
        <v>0</v>
      </c>
      <c r="K109" s="61">
        <f ca="1">IF(I109&gt;0,J109*100/I109,0)</f>
        <v>0</v>
      </c>
      <c r="L109" s="58"/>
      <c r="M109" s="58"/>
      <c r="N109" s="58"/>
      <c r="O109" s="165"/>
      <c r="P109" s="165"/>
    </row>
    <row r="110" spans="1:16" ht="19.5" hidden="1" x14ac:dyDescent="0.3">
      <c r="A110" s="186"/>
      <c r="B110" s="187"/>
      <c r="C110" s="187"/>
      <c r="D110" s="189"/>
      <c r="E110" s="197"/>
      <c r="F110" s="189"/>
      <c r="G110" s="190"/>
      <c r="H110" s="190"/>
      <c r="I110" s="198"/>
      <c r="J110" s="198"/>
      <c r="K110" s="200"/>
      <c r="L110" s="200"/>
      <c r="M110" s="200"/>
      <c r="N110" s="200"/>
      <c r="O110" s="200"/>
      <c r="P110" s="200"/>
    </row>
    <row r="111" spans="1:16" ht="18.75" hidden="1" x14ac:dyDescent="0.25">
      <c r="A111" s="186"/>
      <c r="B111" s="187"/>
      <c r="C111" s="187"/>
      <c r="D111" s="189"/>
      <c r="E111" s="188"/>
      <c r="F111" s="189"/>
      <c r="G111" s="190"/>
      <c r="H111" s="191"/>
      <c r="I111" s="192"/>
      <c r="J111" s="192"/>
      <c r="K111" s="193"/>
      <c r="L111" s="200"/>
      <c r="M111" s="200"/>
      <c r="N111" s="200"/>
      <c r="O111" s="200"/>
      <c r="P111" s="200"/>
    </row>
    <row r="112" spans="1:16" ht="18.75" hidden="1" x14ac:dyDescent="0.25">
      <c r="A112" s="186"/>
      <c r="B112" s="187"/>
      <c r="C112" s="187"/>
      <c r="D112" s="189"/>
      <c r="E112" s="202"/>
      <c r="F112" s="189"/>
      <c r="G112" s="190"/>
      <c r="H112" s="191"/>
      <c r="I112" s="192"/>
      <c r="J112" s="192"/>
      <c r="K112" s="193"/>
      <c r="L112" s="200"/>
      <c r="M112" s="200"/>
      <c r="N112" s="200"/>
      <c r="O112" s="200"/>
      <c r="P112" s="200"/>
    </row>
    <row r="113" spans="1:16" ht="19.5" hidden="1" x14ac:dyDescent="0.3">
      <c r="A113" s="186"/>
      <c r="B113" s="187"/>
      <c r="C113" s="187"/>
      <c r="D113" s="189"/>
      <c r="E113" s="197"/>
      <c r="F113" s="189"/>
      <c r="G113" s="190"/>
      <c r="H113" s="190"/>
      <c r="I113" s="198"/>
      <c r="J113" s="198"/>
      <c r="K113" s="200"/>
      <c r="L113" s="200"/>
      <c r="M113" s="200"/>
      <c r="N113" s="200"/>
      <c r="O113" s="200"/>
      <c r="P113" s="200"/>
    </row>
    <row r="114" spans="1:16" ht="18.75" hidden="1" x14ac:dyDescent="0.25">
      <c r="A114" s="186"/>
      <c r="B114" s="187"/>
      <c r="C114" s="187"/>
      <c r="D114" s="189"/>
      <c r="E114" s="188"/>
      <c r="F114" s="189"/>
      <c r="G114" s="190"/>
      <c r="H114" s="191"/>
      <c r="I114" s="192"/>
      <c r="J114" s="192"/>
      <c r="K114" s="193"/>
      <c r="L114" s="200"/>
      <c r="M114" s="200"/>
      <c r="N114" s="200"/>
      <c r="O114" s="200"/>
      <c r="P114" s="200"/>
    </row>
    <row r="115" spans="1:16" ht="18.75" hidden="1" x14ac:dyDescent="0.25">
      <c r="A115" s="186"/>
      <c r="B115" s="187"/>
      <c r="C115" s="187"/>
      <c r="D115" s="189"/>
      <c r="E115" s="203"/>
      <c r="F115" s="189"/>
      <c r="G115" s="190"/>
      <c r="H115" s="191"/>
      <c r="I115" s="192"/>
      <c r="J115" s="192"/>
      <c r="K115" s="193"/>
      <c r="L115" s="200"/>
      <c r="M115" s="200"/>
      <c r="N115" s="200"/>
      <c r="O115" s="200"/>
      <c r="P115" s="200"/>
    </row>
    <row r="116" spans="1:16" ht="18.75" hidden="1" x14ac:dyDescent="0.25">
      <c r="A116" s="186"/>
      <c r="B116" s="187"/>
      <c r="C116" s="187"/>
      <c r="D116" s="189"/>
      <c r="E116" s="203"/>
      <c r="F116" s="189"/>
      <c r="G116" s="190"/>
      <c r="H116" s="191"/>
      <c r="I116" s="192"/>
      <c r="J116" s="192"/>
      <c r="K116" s="193"/>
      <c r="L116" s="200"/>
      <c r="M116" s="200"/>
      <c r="N116" s="200"/>
      <c r="O116" s="200"/>
      <c r="P116" s="200"/>
    </row>
    <row r="117" spans="1:16" ht="18.75" hidden="1" x14ac:dyDescent="0.25">
      <c r="A117" s="167"/>
      <c r="B117" s="168"/>
      <c r="C117" s="168"/>
      <c r="D117" s="195" t="s">
        <v>48</v>
      </c>
      <c r="E117" s="174"/>
      <c r="F117" s="174"/>
      <c r="G117" s="172"/>
      <c r="H117" s="297" t="s">
        <v>33</v>
      </c>
      <c r="I117" s="184">
        <f ca="1">IFERROR(__xludf.DUMMYFUNCTION("IMPORTRANGE(""https://docs.google.com/spreadsheets/d/1eHaY18a8A9IcSdp1K8H6x8fbOy06t2VsZHhMHf-1x7Y/edit?usp=sharing"",""แผน!R53"")"),0)</f>
        <v>0</v>
      </c>
      <c r="J117" s="558">
        <v>0</v>
      </c>
      <c r="K117" s="61">
        <f ca="1">IF(I117&gt;0,J117*100/I117,0)</f>
        <v>0</v>
      </c>
      <c r="L117" s="58"/>
      <c r="M117" s="58"/>
      <c r="N117" s="58"/>
      <c r="O117" s="165"/>
      <c r="P117" s="165"/>
    </row>
    <row r="118" spans="1:16" ht="19.5" hidden="1" x14ac:dyDescent="0.3">
      <c r="A118" s="186"/>
      <c r="B118" s="187"/>
      <c r="C118" s="187"/>
      <c r="D118" s="187"/>
      <c r="E118" s="189"/>
      <c r="F118" s="189"/>
      <c r="G118" s="190"/>
      <c r="H118" s="204"/>
      <c r="I118" s="205"/>
      <c r="J118" s="205"/>
      <c r="K118" s="206"/>
      <c r="L118" s="200"/>
      <c r="M118" s="200"/>
      <c r="N118" s="200"/>
      <c r="O118" s="200"/>
      <c r="P118" s="200"/>
    </row>
    <row r="119" spans="1:16" ht="18.75" hidden="1" x14ac:dyDescent="0.25">
      <c r="A119" s="186"/>
      <c r="B119" s="187"/>
      <c r="C119" s="187"/>
      <c r="D119" s="187"/>
      <c r="E119" s="188"/>
      <c r="F119" s="189"/>
      <c r="G119" s="190"/>
      <c r="H119" s="191"/>
      <c r="I119" s="192"/>
      <c r="J119" s="192"/>
      <c r="K119" s="193"/>
      <c r="L119" s="200"/>
      <c r="M119" s="200"/>
      <c r="N119" s="200"/>
      <c r="O119" s="200"/>
      <c r="P119" s="200"/>
    </row>
    <row r="120" spans="1:16" ht="18.75" hidden="1" x14ac:dyDescent="0.25">
      <c r="A120" s="186"/>
      <c r="B120" s="187"/>
      <c r="C120" s="187"/>
      <c r="D120" s="187"/>
      <c r="E120" s="188"/>
      <c r="F120" s="189"/>
      <c r="G120" s="190"/>
      <c r="H120" s="191"/>
      <c r="I120" s="192"/>
      <c r="J120" s="192"/>
      <c r="K120" s="193"/>
      <c r="L120" s="200"/>
      <c r="M120" s="200"/>
      <c r="N120" s="200"/>
      <c r="O120" s="200"/>
      <c r="P120" s="200"/>
    </row>
    <row r="121" spans="1:16" ht="18.75" hidden="1" x14ac:dyDescent="0.25">
      <c r="A121" s="186"/>
      <c r="B121" s="187"/>
      <c r="C121" s="187"/>
      <c r="D121" s="187"/>
      <c r="E121" s="188"/>
      <c r="F121" s="189"/>
      <c r="G121" s="190"/>
      <c r="H121" s="191"/>
      <c r="I121" s="192"/>
      <c r="J121" s="192"/>
      <c r="K121" s="193"/>
      <c r="L121" s="200"/>
      <c r="M121" s="200"/>
      <c r="N121" s="200"/>
      <c r="O121" s="200"/>
      <c r="P121" s="200"/>
    </row>
    <row r="122" spans="1:16" ht="18.75" hidden="1" x14ac:dyDescent="0.25">
      <c r="A122" s="186"/>
      <c r="B122" s="187"/>
      <c r="C122" s="187"/>
      <c r="D122" s="187"/>
      <c r="E122" s="188"/>
      <c r="F122" s="189"/>
      <c r="G122" s="190"/>
      <c r="H122" s="191"/>
      <c r="I122" s="192"/>
      <c r="J122" s="192"/>
      <c r="K122" s="193"/>
      <c r="L122" s="200"/>
      <c r="M122" s="200"/>
      <c r="N122" s="200"/>
      <c r="O122" s="200"/>
      <c r="P122" s="200"/>
    </row>
    <row r="123" spans="1:16" ht="19.5" hidden="1" x14ac:dyDescent="0.3">
      <c r="A123" s="207" t="s">
        <v>49</v>
      </c>
      <c r="B123" s="17"/>
      <c r="C123" s="208"/>
      <c r="D123" s="17"/>
      <c r="E123" s="17"/>
      <c r="F123" s="17"/>
      <c r="G123" s="17"/>
      <c r="H123" s="17"/>
      <c r="I123" s="209"/>
      <c r="J123" s="209"/>
      <c r="K123" s="210"/>
      <c r="L123" s="23"/>
      <c r="M123" s="23"/>
      <c r="N123" s="23"/>
      <c r="O123" s="23"/>
      <c r="P123" s="23"/>
    </row>
    <row r="124" spans="1:16" ht="19.5" hidden="1" x14ac:dyDescent="0.3">
      <c r="A124" s="211"/>
      <c r="B124" s="212" t="s">
        <v>50</v>
      </c>
      <c r="C124" s="208"/>
      <c r="D124" s="213"/>
      <c r="E124" s="17"/>
      <c r="F124" s="17"/>
      <c r="G124" s="20"/>
      <c r="H124" s="20"/>
      <c r="I124" s="339">
        <v>0</v>
      </c>
      <c r="J124" s="339">
        <v>0</v>
      </c>
      <c r="K124" s="27">
        <v>0</v>
      </c>
      <c r="L124" s="23"/>
      <c r="M124" s="23"/>
      <c r="N124" s="23"/>
      <c r="O124" s="23"/>
      <c r="P124" s="23"/>
    </row>
    <row r="125" spans="1:16" ht="19.5" hidden="1" x14ac:dyDescent="0.3">
      <c r="A125" s="211"/>
      <c r="B125" s="17"/>
      <c r="C125" s="212" t="s">
        <v>16</v>
      </c>
      <c r="D125" s="19" t="s">
        <v>17</v>
      </c>
      <c r="E125" s="17"/>
      <c r="F125" s="17"/>
      <c r="G125" s="20"/>
      <c r="H125" s="215" t="s">
        <v>12</v>
      </c>
      <c r="I125" s="22"/>
      <c r="J125" s="22"/>
      <c r="K125" s="23"/>
      <c r="L125" s="24">
        <f ca="1">L126+L127</f>
        <v>0</v>
      </c>
      <c r="M125" s="24">
        <f ca="1">M126+M127</f>
        <v>0</v>
      </c>
      <c r="N125" s="24">
        <f ca="1">N126+N127</f>
        <v>0</v>
      </c>
      <c r="O125" s="24">
        <f t="shared" ref="O125:O133" ca="1" si="18">IF(L125&gt;0,N125*100/L125,0)</f>
        <v>0</v>
      </c>
      <c r="P125" s="24">
        <f t="shared" ref="P125:P133" ca="1" si="19">IF(M125&gt;0,N125*100/M125,0)</f>
        <v>0</v>
      </c>
    </row>
    <row r="126" spans="1:16" ht="18.75" hidden="1" x14ac:dyDescent="0.25">
      <c r="A126" s="216"/>
      <c r="B126" s="189"/>
      <c r="C126" s="189"/>
      <c r="D126" s="189"/>
      <c r="E126" s="188" t="s">
        <v>18</v>
      </c>
      <c r="F126" s="189"/>
      <c r="G126" s="190"/>
      <c r="H126" s="217" t="s">
        <v>12</v>
      </c>
      <c r="I126" s="198"/>
      <c r="J126" s="198"/>
      <c r="K126" s="20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211"/>
      <c r="B127" s="17"/>
      <c r="C127" s="17"/>
      <c r="D127" s="17"/>
      <c r="E127" s="25" t="s">
        <v>19</v>
      </c>
      <c r="F127" s="17"/>
      <c r="G127" s="20"/>
      <c r="H127" s="218" t="s">
        <v>12</v>
      </c>
      <c r="I127" s="22"/>
      <c r="J127" s="22"/>
      <c r="K127" s="23"/>
      <c r="L127" s="27">
        <f t="shared" ca="1" si="20"/>
        <v>0</v>
      </c>
      <c r="M127" s="27">
        <f t="shared" ca="1" si="20"/>
        <v>0</v>
      </c>
      <c r="N127" s="27">
        <f t="shared" ca="1" si="20"/>
        <v>0</v>
      </c>
      <c r="O127" s="27">
        <f t="shared" ca="1" si="18"/>
        <v>0</v>
      </c>
      <c r="P127" s="27">
        <f t="shared" ca="1" si="19"/>
        <v>0</v>
      </c>
    </row>
    <row r="128" spans="1:16" ht="18.75" hidden="1" x14ac:dyDescent="0.25">
      <c r="A128" s="211"/>
      <c r="B128" s="17"/>
      <c r="C128" s="17"/>
      <c r="D128" s="28" t="s">
        <v>20</v>
      </c>
      <c r="E128" s="17"/>
      <c r="F128" s="17"/>
      <c r="G128" s="20"/>
      <c r="H128" s="219" t="s">
        <v>12</v>
      </c>
      <c r="I128" s="22"/>
      <c r="J128" s="22"/>
      <c r="K128" s="23"/>
      <c r="L128" s="27">
        <f ca="1">L129+L130</f>
        <v>0</v>
      </c>
      <c r="M128" s="27">
        <f ca="1">M129+M130</f>
        <v>0</v>
      </c>
      <c r="N128" s="27">
        <f ca="1">N129+N130</f>
        <v>0</v>
      </c>
      <c r="O128" s="27">
        <f t="shared" ca="1" si="18"/>
        <v>0</v>
      </c>
      <c r="P128" s="27">
        <f t="shared" ca="1" si="19"/>
        <v>0</v>
      </c>
    </row>
    <row r="129" spans="1:16" ht="18.75" hidden="1" x14ac:dyDescent="0.25">
      <c r="A129" s="216"/>
      <c r="B129" s="189"/>
      <c r="C129" s="189"/>
      <c r="D129" s="189"/>
      <c r="E129" s="188" t="s">
        <v>34</v>
      </c>
      <c r="F129" s="189"/>
      <c r="G129" s="190"/>
      <c r="H129" s="220" t="s">
        <v>12</v>
      </c>
      <c r="I129" s="198"/>
      <c r="J129" s="198"/>
      <c r="K129" s="20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211"/>
      <c r="B130" s="17"/>
      <c r="C130" s="17"/>
      <c r="D130" s="17"/>
      <c r="E130" s="25" t="s">
        <v>35</v>
      </c>
      <c r="F130" s="17"/>
      <c r="G130" s="20"/>
      <c r="H130" s="219" t="s">
        <v>12</v>
      </c>
      <c r="I130" s="22"/>
      <c r="J130" s="22"/>
      <c r="K130" s="23"/>
      <c r="L130" s="27">
        <f ca="1">IFERROR(__xludf.DUMMYFUNCTION("IMPORTRANGE(""https://docs.google.com/spreadsheets/d/1-uDff_7J0KD5mKrp0Vvzr7lt3OU09vwQwhkpOPPYv2Y/edit?usp=sharing"",""งบพรบ!BG53"")"),0)</f>
        <v>0</v>
      </c>
      <c r="M130" s="27">
        <f ca="1">IFERROR(__xludf.DUMMYFUNCTION("IMPORTRANGE(""https://docs.google.com/spreadsheets/d/1-uDff_7J0KD5mKrp0Vvzr7lt3OU09vwQwhkpOPPYv2Y/edit?usp=sharing"",""งบพรบ!BL53"")"),0)</f>
        <v>0</v>
      </c>
      <c r="N130" s="27">
        <f ca="1">IFERROR(__xludf.DUMMYFUNCTION("IMPORTRANGE(""https://docs.google.com/spreadsheets/d/1-uDff_7J0KD5mKrp0Vvzr7lt3OU09vwQwhkpOPPYv2Y/edit?usp=sharing"",""งบพรบ!BN53"")"),0)</f>
        <v>0</v>
      </c>
      <c r="O130" s="27">
        <f t="shared" ca="1" si="18"/>
        <v>0</v>
      </c>
      <c r="P130" s="27">
        <f t="shared" ca="1" si="19"/>
        <v>0</v>
      </c>
    </row>
    <row r="131" spans="1:16" ht="18.75" hidden="1" x14ac:dyDescent="0.25">
      <c r="A131" s="211"/>
      <c r="B131" s="17"/>
      <c r="C131" s="17"/>
      <c r="D131" s="28" t="s">
        <v>21</v>
      </c>
      <c r="E131" s="17"/>
      <c r="F131" s="17"/>
      <c r="G131" s="20"/>
      <c r="H131" s="218" t="s">
        <v>12</v>
      </c>
      <c r="I131" s="22"/>
      <c r="J131" s="22"/>
      <c r="K131" s="23"/>
      <c r="L131" s="27">
        <f ca="1">L132+L133</f>
        <v>0</v>
      </c>
      <c r="M131" s="27">
        <f ca="1">M132+M133</f>
        <v>0</v>
      </c>
      <c r="N131" s="27">
        <f ca="1">N132+N133</f>
        <v>0</v>
      </c>
      <c r="O131" s="27">
        <f t="shared" ca="1" si="18"/>
        <v>0</v>
      </c>
      <c r="P131" s="27">
        <f t="shared" ca="1" si="19"/>
        <v>0</v>
      </c>
    </row>
    <row r="132" spans="1:16" ht="18.75" hidden="1" x14ac:dyDescent="0.25">
      <c r="A132" s="216"/>
      <c r="B132" s="189"/>
      <c r="C132" s="189"/>
      <c r="D132" s="189"/>
      <c r="E132" s="188" t="s">
        <v>18</v>
      </c>
      <c r="F132" s="189"/>
      <c r="G132" s="190"/>
      <c r="H132" s="220" t="s">
        <v>12</v>
      </c>
      <c r="I132" s="198"/>
      <c r="J132" s="198"/>
      <c r="K132" s="20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211"/>
      <c r="B133" s="17"/>
      <c r="C133" s="17"/>
      <c r="D133" s="17"/>
      <c r="E133" s="25" t="s">
        <v>19</v>
      </c>
      <c r="F133" s="17"/>
      <c r="G133" s="20"/>
      <c r="H133" s="218" t="s">
        <v>12</v>
      </c>
      <c r="I133" s="22"/>
      <c r="J133" s="22"/>
      <c r="K133" s="23"/>
      <c r="L133" s="27">
        <f ca="1">IFERROR(__xludf.DUMMYFUNCTION("IMPORTRANGE(""https://docs.google.com/spreadsheets/d/1-uDff_7J0KD5mKrp0Vvzr7lt3OU09vwQwhkpOPPYv2Y/edit?usp=sharing"",""งบพรบ!BJ53"")"),0)</f>
        <v>0</v>
      </c>
      <c r="M133" s="27">
        <f ca="1">IFERROR(__xludf.DUMMYFUNCTION("IMPORTRANGE(""https://docs.google.com/spreadsheets/d/1-uDff_7J0KD5mKrp0Vvzr7lt3OU09vwQwhkpOPPYv2Y/edit?usp=sharing"",""งบพรบ!BM53"")"),0)</f>
        <v>0</v>
      </c>
      <c r="N133" s="27">
        <f ca="1">IFERROR(__xludf.DUMMYFUNCTION("IMPORTRANGE(""https://docs.google.com/spreadsheets/d/1-uDff_7J0KD5mKrp0Vvzr7lt3OU09vwQwhkpOPPYv2Y/edit?usp=sharing"",""งบพรบ!BO53"")"),0)</f>
        <v>0</v>
      </c>
      <c r="O133" s="27">
        <f t="shared" ca="1" si="18"/>
        <v>0</v>
      </c>
      <c r="P133" s="27">
        <f t="shared" ca="1" si="19"/>
        <v>0</v>
      </c>
    </row>
    <row r="134" spans="1:16" ht="19.5" x14ac:dyDescent="0.3">
      <c r="A134" s="146" t="s">
        <v>51</v>
      </c>
      <c r="B134" s="147"/>
      <c r="C134" s="221"/>
      <c r="D134" s="147"/>
      <c r="E134" s="147"/>
      <c r="F134" s="147"/>
      <c r="G134" s="147"/>
      <c r="H134" s="147"/>
      <c r="I134" s="222"/>
      <c r="J134" s="222"/>
      <c r="K134" s="223"/>
      <c r="L134" s="151"/>
      <c r="M134" s="151"/>
      <c r="N134" s="151"/>
      <c r="O134" s="151"/>
      <c r="P134" s="151"/>
    </row>
    <row r="135" spans="1:16" ht="19.5" x14ac:dyDescent="0.3">
      <c r="A135" s="152"/>
      <c r="B135" s="153" t="s">
        <v>52</v>
      </c>
      <c r="C135" s="224"/>
      <c r="D135" s="154"/>
      <c r="E135" s="41"/>
      <c r="F135" s="41"/>
      <c r="G135" s="41"/>
      <c r="H135" s="41"/>
      <c r="I135" s="46"/>
      <c r="J135" s="46"/>
      <c r="K135" s="47"/>
      <c r="L135" s="47"/>
      <c r="M135" s="47"/>
      <c r="N135" s="47"/>
      <c r="O135" s="47"/>
      <c r="P135" s="47"/>
    </row>
    <row r="136" spans="1:16" ht="19.5" x14ac:dyDescent="0.3">
      <c r="A136" s="152"/>
      <c r="B136" s="41"/>
      <c r="C136" s="225" t="s">
        <v>53</v>
      </c>
      <c r="D136" s="154"/>
      <c r="E136" s="41"/>
      <c r="F136" s="41"/>
      <c r="G136" s="44"/>
      <c r="H136" s="226" t="s">
        <v>54</v>
      </c>
      <c r="I136" s="156">
        <f ca="1">I154</f>
        <v>0</v>
      </c>
      <c r="J136" s="156">
        <f>J154</f>
        <v>0</v>
      </c>
      <c r="K136" s="48">
        <f ca="1">IF(I136&gt;0,J136*100/I136,0)</f>
        <v>0</v>
      </c>
      <c r="L136" s="47"/>
      <c r="M136" s="47"/>
      <c r="N136" s="47"/>
      <c r="O136" s="47"/>
      <c r="P136" s="47"/>
    </row>
    <row r="137" spans="1:16" ht="19.5" x14ac:dyDescent="0.3">
      <c r="A137" s="152"/>
      <c r="B137" s="41"/>
      <c r="C137" s="225" t="s">
        <v>55</v>
      </c>
      <c r="D137" s="154"/>
      <c r="E137" s="41"/>
      <c r="F137" s="41"/>
      <c r="G137" s="44"/>
      <c r="H137" s="226" t="s">
        <v>33</v>
      </c>
      <c r="I137" s="156">
        <f ca="1">I152</f>
        <v>20</v>
      </c>
      <c r="J137" s="156">
        <f>J152</f>
        <v>0</v>
      </c>
      <c r="K137" s="48">
        <f ca="1">IF(I137&gt;0,J137*100/I137,0)</f>
        <v>0</v>
      </c>
      <c r="L137" s="47"/>
      <c r="M137" s="47"/>
      <c r="N137" s="47"/>
      <c r="O137" s="47"/>
      <c r="P137" s="47"/>
    </row>
    <row r="138" spans="1:16" ht="19.5" x14ac:dyDescent="0.3">
      <c r="A138" s="152"/>
      <c r="B138" s="41"/>
      <c r="C138" s="225"/>
      <c r="D138" s="154"/>
      <c r="E138" s="41"/>
      <c r="F138" s="41"/>
      <c r="G138" s="44"/>
      <c r="H138" s="226" t="s">
        <v>56</v>
      </c>
      <c r="I138" s="156">
        <f ca="1">I153</f>
        <v>2</v>
      </c>
      <c r="J138" s="156">
        <f>J153</f>
        <v>0</v>
      </c>
      <c r="K138" s="48">
        <f ca="1">IF(I138&gt;0,J138*100/I138,0)</f>
        <v>0</v>
      </c>
      <c r="L138" s="47"/>
      <c r="M138" s="47"/>
      <c r="N138" s="47"/>
      <c r="O138" s="47"/>
      <c r="P138" s="47"/>
    </row>
    <row r="139" spans="1:16" ht="19.5" x14ac:dyDescent="0.3">
      <c r="A139" s="157"/>
      <c r="B139" s="53"/>
      <c r="C139" s="158" t="s">
        <v>16</v>
      </c>
      <c r="D139" s="554" t="s">
        <v>17</v>
      </c>
      <c r="E139" s="53"/>
      <c r="F139" s="53"/>
      <c r="G139" s="55"/>
      <c r="H139" s="160" t="s">
        <v>12</v>
      </c>
      <c r="I139" s="57"/>
      <c r="J139" s="57"/>
      <c r="K139" s="58"/>
      <c r="L139" s="161">
        <f ca="1">L140+L141</f>
        <v>119900</v>
      </c>
      <c r="M139" s="161">
        <f ca="1">M140+M141</f>
        <v>90100</v>
      </c>
      <c r="N139" s="161">
        <f ca="1">N140+N141</f>
        <v>36127</v>
      </c>
      <c r="O139" s="161">
        <f t="shared" ref="O139:O147" ca="1" si="21">IF(L139&gt;0,N139*100/L139,0)</f>
        <v>30.130942452043371</v>
      </c>
      <c r="P139" s="161">
        <f t="shared" ref="P139:P147" ca="1" si="22">IF(M139&gt;0,N139*100/M139,0)</f>
        <v>40.09655937846837</v>
      </c>
    </row>
    <row r="140" spans="1:16" ht="18.75" hidden="1" x14ac:dyDescent="0.25">
      <c r="A140" s="521"/>
      <c r="B140" s="506"/>
      <c r="C140" s="506"/>
      <c r="D140" s="506"/>
      <c r="E140" s="520" t="s">
        <v>18</v>
      </c>
      <c r="F140" s="506"/>
      <c r="G140" s="505"/>
      <c r="H140" s="524" t="s">
        <v>12</v>
      </c>
      <c r="I140" s="199"/>
      <c r="J140" s="199"/>
      <c r="K140" s="501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157"/>
      <c r="B141" s="53"/>
      <c r="C141" s="53"/>
      <c r="D141" s="53"/>
      <c r="E141" s="336" t="s">
        <v>19</v>
      </c>
      <c r="F141" s="53"/>
      <c r="G141" s="55"/>
      <c r="H141" s="162" t="s">
        <v>12</v>
      </c>
      <c r="I141" s="57"/>
      <c r="J141" s="57"/>
      <c r="K141" s="58"/>
      <c r="L141" s="61">
        <f t="shared" ca="1" si="23"/>
        <v>119900</v>
      </c>
      <c r="M141" s="61">
        <f t="shared" ca="1" si="23"/>
        <v>90100</v>
      </c>
      <c r="N141" s="61">
        <f t="shared" ca="1" si="23"/>
        <v>36127</v>
      </c>
      <c r="O141" s="61">
        <f t="shared" ca="1" si="21"/>
        <v>30.130942452043371</v>
      </c>
      <c r="P141" s="61">
        <f t="shared" ca="1" si="22"/>
        <v>40.09655937846837</v>
      </c>
    </row>
    <row r="142" spans="1:16" ht="18.75" x14ac:dyDescent="0.25">
      <c r="A142" s="157"/>
      <c r="B142" s="53"/>
      <c r="C142" s="53"/>
      <c r="D142" s="553" t="s">
        <v>20</v>
      </c>
      <c r="E142" s="53"/>
      <c r="F142" s="53"/>
      <c r="G142" s="55"/>
      <c r="H142" s="163" t="s">
        <v>12</v>
      </c>
      <c r="I142" s="164"/>
      <c r="J142" s="164"/>
      <c r="K142" s="165"/>
      <c r="L142" s="61">
        <f ca="1">L143+L144</f>
        <v>119900</v>
      </c>
      <c r="M142" s="61">
        <f ca="1">M143+M144</f>
        <v>90100</v>
      </c>
      <c r="N142" s="61">
        <f ca="1">N143+N144</f>
        <v>36127</v>
      </c>
      <c r="O142" s="61">
        <f t="shared" ca="1" si="21"/>
        <v>30.130942452043371</v>
      </c>
      <c r="P142" s="61">
        <f t="shared" ca="1" si="22"/>
        <v>40.09655937846837</v>
      </c>
    </row>
    <row r="143" spans="1:16" ht="18.75" hidden="1" x14ac:dyDescent="0.25">
      <c r="A143" s="521"/>
      <c r="B143" s="506"/>
      <c r="C143" s="506"/>
      <c r="D143" s="506"/>
      <c r="E143" s="520" t="s">
        <v>34</v>
      </c>
      <c r="F143" s="506"/>
      <c r="G143" s="505"/>
      <c r="H143" s="522" t="s">
        <v>12</v>
      </c>
      <c r="I143" s="512"/>
      <c r="J143" s="512"/>
      <c r="K143" s="511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157"/>
      <c r="B144" s="53"/>
      <c r="C144" s="53"/>
      <c r="D144" s="53"/>
      <c r="E144" s="336" t="s">
        <v>35</v>
      </c>
      <c r="F144" s="53"/>
      <c r="G144" s="55"/>
      <c r="H144" s="163" t="s">
        <v>12</v>
      </c>
      <c r="I144" s="164"/>
      <c r="J144" s="164"/>
      <c r="K144" s="165"/>
      <c r="L144" s="61">
        <f ca="1">IFERROR(__xludf.DUMMYFUNCTION("IMPORTRANGE(""https://docs.google.com/spreadsheets/d/1-uDff_7J0KD5mKrp0Vvzr7lt3OU09vwQwhkpOPPYv2Y/edit?usp=sharing"",""งบพรบ!BQ53"")"),119900)</f>
        <v>119900</v>
      </c>
      <c r="M144" s="61">
        <f ca="1">IFERROR(__xludf.DUMMYFUNCTION("IMPORTRANGE(""https://docs.google.com/spreadsheets/d/1-uDff_7J0KD5mKrp0Vvzr7lt3OU09vwQwhkpOPPYv2Y/edit?usp=sharing"",""งบพรบ!BV53"")"),90100)</f>
        <v>90100</v>
      </c>
      <c r="N144" s="61">
        <f ca="1">IFERROR(__xludf.DUMMYFUNCTION("IMPORTRANGE(""https://docs.google.com/spreadsheets/d/1-uDff_7J0KD5mKrp0Vvzr7lt3OU09vwQwhkpOPPYv2Y/edit?usp=sharing"",""งบพรบ!BX53"")"),36127)</f>
        <v>36127</v>
      </c>
      <c r="O144" s="61">
        <f t="shared" ca="1" si="21"/>
        <v>30.130942452043371</v>
      </c>
      <c r="P144" s="61">
        <f t="shared" ca="1" si="22"/>
        <v>40.09655937846837</v>
      </c>
    </row>
    <row r="145" spans="1:16" ht="18.75" x14ac:dyDescent="0.25">
      <c r="A145" s="157"/>
      <c r="B145" s="53"/>
      <c r="C145" s="53"/>
      <c r="D145" s="553" t="s">
        <v>21</v>
      </c>
      <c r="E145" s="53"/>
      <c r="F145" s="53"/>
      <c r="G145" s="55"/>
      <c r="H145" s="166" t="s">
        <v>12</v>
      </c>
      <c r="I145" s="164"/>
      <c r="J145" s="164"/>
      <c r="K145" s="165"/>
      <c r="L145" s="61">
        <f ca="1">L146+L147</f>
        <v>0</v>
      </c>
      <c r="M145" s="61">
        <f ca="1">M146+M147</f>
        <v>0</v>
      </c>
      <c r="N145" s="61">
        <f ca="1">N146+N147</f>
        <v>0</v>
      </c>
      <c r="O145" s="61">
        <f t="shared" ca="1" si="21"/>
        <v>0</v>
      </c>
      <c r="P145" s="61">
        <f t="shared" ca="1" si="22"/>
        <v>0</v>
      </c>
    </row>
    <row r="146" spans="1:16" ht="18.75" hidden="1" x14ac:dyDescent="0.25">
      <c r="A146" s="521"/>
      <c r="B146" s="506"/>
      <c r="C146" s="506"/>
      <c r="D146" s="506"/>
      <c r="E146" s="520" t="s">
        <v>18</v>
      </c>
      <c r="F146" s="506"/>
      <c r="G146" s="505"/>
      <c r="H146" s="522" t="s">
        <v>12</v>
      </c>
      <c r="I146" s="512"/>
      <c r="J146" s="512"/>
      <c r="K146" s="511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157"/>
      <c r="B147" s="53"/>
      <c r="C147" s="53"/>
      <c r="D147" s="53"/>
      <c r="E147" s="336" t="s">
        <v>19</v>
      </c>
      <c r="F147" s="53"/>
      <c r="G147" s="55"/>
      <c r="H147" s="166" t="s">
        <v>12</v>
      </c>
      <c r="I147" s="164"/>
      <c r="J147" s="164"/>
      <c r="K147" s="165"/>
      <c r="L147" s="61">
        <f ca="1">IFERROR(__xludf.DUMMYFUNCTION("IMPORTRANGE(""https://docs.google.com/spreadsheets/d/1-uDff_7J0KD5mKrp0Vvzr7lt3OU09vwQwhkpOPPYv2Y/edit?usp=sharing"",""งบพรบ!BT53"")"),0)</f>
        <v>0</v>
      </c>
      <c r="M147" s="61">
        <f ca="1">IFERROR(__xludf.DUMMYFUNCTION("IMPORTRANGE(""https://docs.google.com/spreadsheets/d/1-uDff_7J0KD5mKrp0Vvzr7lt3OU09vwQwhkpOPPYv2Y/edit?usp=sharing"",""งบพรบ!BW53"")"),0)</f>
        <v>0</v>
      </c>
      <c r="N147" s="61">
        <f ca="1">IFERROR(__xludf.DUMMYFUNCTION("IMPORTRANGE(""https://docs.google.com/spreadsheets/d/1-uDff_7J0KD5mKrp0Vvzr7lt3OU09vwQwhkpOPPYv2Y/edit?usp=sharing"",""งบพรบ!BY53"")"),0)</f>
        <v>0</v>
      </c>
      <c r="O147" s="61">
        <f t="shared" ca="1" si="21"/>
        <v>0</v>
      </c>
      <c r="P147" s="61">
        <f t="shared" ca="1" si="22"/>
        <v>0</v>
      </c>
    </row>
    <row r="148" spans="1:16" ht="19.5" x14ac:dyDescent="0.3">
      <c r="A148" s="167"/>
      <c r="B148" s="168"/>
      <c r="C148" s="158" t="s">
        <v>16</v>
      </c>
      <c r="D148" s="551" t="s">
        <v>36</v>
      </c>
      <c r="E148" s="170"/>
      <c r="F148" s="170"/>
      <c r="G148" s="171"/>
      <c r="H148" s="227"/>
      <c r="I148" s="57"/>
      <c r="J148" s="57"/>
      <c r="K148" s="58"/>
      <c r="L148" s="58"/>
      <c r="M148" s="58"/>
      <c r="N148" s="58"/>
      <c r="O148" s="58"/>
      <c r="P148" s="58"/>
    </row>
    <row r="149" spans="1:16" ht="18.75" x14ac:dyDescent="0.25">
      <c r="A149" s="157"/>
      <c r="B149" s="53"/>
      <c r="C149" s="53"/>
      <c r="D149" s="336" t="s">
        <v>57</v>
      </c>
      <c r="E149" s="53"/>
      <c r="F149" s="53"/>
      <c r="G149" s="55"/>
      <c r="H149" s="227"/>
      <c r="I149" s="57"/>
      <c r="J149" s="558">
        <v>0</v>
      </c>
      <c r="K149" s="58"/>
      <c r="L149" s="58"/>
      <c r="M149" s="58"/>
      <c r="N149" s="58"/>
      <c r="O149" s="58"/>
      <c r="P149" s="58"/>
    </row>
    <row r="150" spans="1:16" ht="19.5" x14ac:dyDescent="0.3">
      <c r="A150" s="228"/>
      <c r="B150" s="63"/>
      <c r="C150" s="63"/>
      <c r="D150" s="229"/>
      <c r="E150" s="233" t="s">
        <v>58</v>
      </c>
      <c r="F150" s="63"/>
      <c r="G150" s="65"/>
      <c r="H150" s="234" t="s">
        <v>33</v>
      </c>
      <c r="I150" s="235">
        <f ca="1">IFERROR(__xludf.DUMMYFUNCTION("IMPORTRANGE(""https://docs.google.com/spreadsheets/d/1eHaY18a8A9IcSdp1K8H6x8fbOy06t2VsZHhMHf-1x7Y/edit?usp=sharing"",""แผน!U53"")"),0)</f>
        <v>0</v>
      </c>
      <c r="J150" s="613">
        <v>0</v>
      </c>
      <c r="K150" s="69">
        <f ca="1">IF(I150&gt;0,J150*100/I150,0)</f>
        <v>0</v>
      </c>
      <c r="L150" s="68"/>
      <c r="M150" s="68"/>
      <c r="N150" s="68"/>
      <c r="O150" s="68"/>
      <c r="P150" s="68"/>
    </row>
    <row r="151" spans="1:16" ht="18.75" x14ac:dyDescent="0.25">
      <c r="A151" s="228"/>
      <c r="B151" s="63"/>
      <c r="C151" s="63"/>
      <c r="D151" s="229"/>
      <c r="E151" s="233"/>
      <c r="F151" s="63"/>
      <c r="G151" s="65"/>
      <c r="H151" s="234" t="s">
        <v>56</v>
      </c>
      <c r="I151" s="235">
        <f ca="1">IFERROR(__xludf.DUMMYFUNCTION("IMPORTRANGE(""https://docs.google.com/spreadsheets/d/1eHaY18a8A9IcSdp1K8H6x8fbOy06t2VsZHhMHf-1x7Y/edit?usp=sharing"",""แผน!V53"")"),0)</f>
        <v>0</v>
      </c>
      <c r="J151" s="613">
        <v>0</v>
      </c>
      <c r="K151" s="69">
        <f ca="1">IF(I151&gt;0,J151*100/I151,0)</f>
        <v>0</v>
      </c>
      <c r="L151" s="68"/>
      <c r="M151" s="68"/>
      <c r="N151" s="68"/>
      <c r="O151" s="68"/>
      <c r="P151" s="68"/>
    </row>
    <row r="152" spans="1:16" ht="19.5" x14ac:dyDescent="0.3">
      <c r="A152" s="228"/>
      <c r="B152" s="63"/>
      <c r="C152" s="63"/>
      <c r="D152" s="229"/>
      <c r="E152" s="233" t="s">
        <v>59</v>
      </c>
      <c r="F152" s="63"/>
      <c r="G152" s="65"/>
      <c r="H152" s="234" t="s">
        <v>33</v>
      </c>
      <c r="I152" s="235">
        <f ca="1">IFERROR(__xludf.DUMMYFUNCTION("IMPORTRANGE(""https://docs.google.com/spreadsheets/d/1eHaY18a8A9IcSdp1K8H6x8fbOy06t2VsZHhMHf-1x7Y/edit?usp=sharing"",""แผน!W53"")"),20)</f>
        <v>20</v>
      </c>
      <c r="J152" s="613">
        <v>0</v>
      </c>
      <c r="K152" s="69">
        <f ca="1">IF(I152&gt;0,J152*100/I152,0)</f>
        <v>0</v>
      </c>
      <c r="L152" s="68"/>
      <c r="M152" s="68"/>
      <c r="N152" s="68"/>
      <c r="O152" s="68"/>
      <c r="P152" s="68"/>
    </row>
    <row r="153" spans="1:16" ht="19.5" x14ac:dyDescent="0.3">
      <c r="A153" s="228"/>
      <c r="B153" s="63"/>
      <c r="C153" s="63"/>
      <c r="D153" s="233"/>
      <c r="E153" s="236"/>
      <c r="F153" s="63"/>
      <c r="G153" s="65"/>
      <c r="H153" s="234" t="s">
        <v>56</v>
      </c>
      <c r="I153" s="235">
        <f ca="1">IFERROR(__xludf.DUMMYFUNCTION("IMPORTRANGE(""https://docs.google.com/spreadsheets/d/1eHaY18a8A9IcSdp1K8H6x8fbOy06t2VsZHhMHf-1x7Y/edit?usp=sharing"",""แผน!X53"")"),2)</f>
        <v>2</v>
      </c>
      <c r="J153" s="613">
        <v>0</v>
      </c>
      <c r="K153" s="69">
        <f ca="1">IF(I153&gt;0,J153*100/I153,0)</f>
        <v>0</v>
      </c>
      <c r="L153" s="68"/>
      <c r="M153" s="68"/>
      <c r="N153" s="68"/>
      <c r="O153" s="68"/>
      <c r="P153" s="68"/>
    </row>
    <row r="154" spans="1:16" ht="18.75" x14ac:dyDescent="0.25">
      <c r="A154" s="237"/>
      <c r="B154" s="238"/>
      <c r="C154" s="238"/>
      <c r="D154" s="239" t="s">
        <v>60</v>
      </c>
      <c r="E154" s="238"/>
      <c r="F154" s="238"/>
      <c r="G154" s="240"/>
      <c r="H154" s="241" t="s">
        <v>54</v>
      </c>
      <c r="I154" s="243">
        <f ca="1">IFERROR(__xludf.DUMMYFUNCTION("IMPORTRANGE(""https://docs.google.com/spreadsheets/d/1eHaY18a8A9IcSdp1K8H6x8fbOy06t2VsZHhMHf-1x7Y/edit?usp=sharing"",""แผน!Y53"")"),0)</f>
        <v>0</v>
      </c>
      <c r="J154" s="612">
        <v>0</v>
      </c>
      <c r="K154" s="69">
        <f ca="1">IF(I154&gt;0,J154*100/I154,0)</f>
        <v>0</v>
      </c>
      <c r="L154" s="244"/>
      <c r="M154" s="244"/>
      <c r="N154" s="244"/>
      <c r="O154" s="244"/>
      <c r="P154" s="244"/>
    </row>
    <row r="155" spans="1:16" ht="19.5" x14ac:dyDescent="0.3">
      <c r="A155" s="245" t="s">
        <v>61</v>
      </c>
      <c r="B155" s="246"/>
      <c r="C155" s="247"/>
      <c r="D155" s="246"/>
      <c r="E155" s="246"/>
      <c r="F155" s="246"/>
      <c r="G155" s="246"/>
      <c r="H155" s="246"/>
      <c r="I155" s="248"/>
      <c r="J155" s="248"/>
      <c r="K155" s="249"/>
      <c r="L155" s="250"/>
      <c r="M155" s="250"/>
      <c r="N155" s="250"/>
      <c r="O155" s="250"/>
      <c r="P155" s="250"/>
    </row>
    <row r="156" spans="1:16" ht="19.5" x14ac:dyDescent="0.3">
      <c r="A156" s="152"/>
      <c r="B156" s="153" t="s">
        <v>62</v>
      </c>
      <c r="C156" s="41"/>
      <c r="D156" s="41"/>
      <c r="E156" s="41"/>
      <c r="F156" s="41"/>
      <c r="G156" s="44"/>
      <c r="H156" s="251" t="s">
        <v>33</v>
      </c>
      <c r="I156" s="156">
        <f ca="1">I167</f>
        <v>10</v>
      </c>
      <c r="J156" s="156">
        <f>J167</f>
        <v>0</v>
      </c>
      <c r="K156" s="48">
        <f ca="1">IF(I156&gt;0,J156*100/I156,0)</f>
        <v>0</v>
      </c>
      <c r="L156" s="47"/>
      <c r="M156" s="47"/>
      <c r="N156" s="47"/>
      <c r="O156" s="47"/>
      <c r="P156" s="47"/>
    </row>
    <row r="157" spans="1:16" ht="19.5" x14ac:dyDescent="0.3">
      <c r="A157" s="157"/>
      <c r="B157" s="53"/>
      <c r="C157" s="158" t="s">
        <v>16</v>
      </c>
      <c r="D157" s="554" t="s">
        <v>17</v>
      </c>
      <c r="E157" s="53"/>
      <c r="F157" s="53"/>
      <c r="G157" s="55"/>
      <c r="H157" s="160" t="s">
        <v>12</v>
      </c>
      <c r="I157" s="57"/>
      <c r="J157" s="57"/>
      <c r="K157" s="58"/>
      <c r="L157" s="161">
        <f ca="1">L158+L159</f>
        <v>3000</v>
      </c>
      <c r="M157" s="161">
        <f ca="1">M158+M159</f>
        <v>0</v>
      </c>
      <c r="N157" s="161">
        <f ca="1">N158+N159</f>
        <v>0</v>
      </c>
      <c r="O157" s="161">
        <f t="shared" ref="O157:O165" ca="1" si="24">IF(L157&gt;0,N157*100/L157,0)</f>
        <v>0</v>
      </c>
      <c r="P157" s="161">
        <f t="shared" ref="P157:P165" ca="1" si="25">IF(M157&gt;0,N157*100/M157,0)</f>
        <v>0</v>
      </c>
    </row>
    <row r="158" spans="1:16" ht="18.75" hidden="1" x14ac:dyDescent="0.25">
      <c r="A158" s="521"/>
      <c r="B158" s="506"/>
      <c r="C158" s="506"/>
      <c r="D158" s="506"/>
      <c r="E158" s="520" t="s">
        <v>18</v>
      </c>
      <c r="F158" s="506"/>
      <c r="G158" s="505"/>
      <c r="H158" s="524" t="s">
        <v>12</v>
      </c>
      <c r="I158" s="199"/>
      <c r="J158" s="199"/>
      <c r="K158" s="501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157"/>
      <c r="B159" s="53"/>
      <c r="C159" s="53"/>
      <c r="D159" s="53"/>
      <c r="E159" s="336" t="s">
        <v>19</v>
      </c>
      <c r="F159" s="53"/>
      <c r="G159" s="55"/>
      <c r="H159" s="162" t="s">
        <v>12</v>
      </c>
      <c r="I159" s="57"/>
      <c r="J159" s="57"/>
      <c r="K159" s="58"/>
      <c r="L159" s="61">
        <f t="shared" ca="1" si="26"/>
        <v>3000</v>
      </c>
      <c r="M159" s="61">
        <f t="shared" ca="1" si="26"/>
        <v>0</v>
      </c>
      <c r="N159" s="61">
        <f t="shared" ca="1" si="26"/>
        <v>0</v>
      </c>
      <c r="O159" s="61">
        <f t="shared" ca="1" si="24"/>
        <v>0</v>
      </c>
      <c r="P159" s="61">
        <f t="shared" ca="1" si="25"/>
        <v>0</v>
      </c>
    </row>
    <row r="160" spans="1:16" ht="18.75" x14ac:dyDescent="0.25">
      <c r="A160" s="157"/>
      <c r="B160" s="53"/>
      <c r="C160" s="53"/>
      <c r="D160" s="553" t="s">
        <v>20</v>
      </c>
      <c r="E160" s="53"/>
      <c r="F160" s="53"/>
      <c r="G160" s="55"/>
      <c r="H160" s="163" t="s">
        <v>12</v>
      </c>
      <c r="I160" s="164"/>
      <c r="J160" s="164"/>
      <c r="K160" s="165"/>
      <c r="L160" s="61">
        <f ca="1">L161+L162</f>
        <v>3000</v>
      </c>
      <c r="M160" s="61">
        <f ca="1">M161+M162</f>
        <v>0</v>
      </c>
      <c r="N160" s="61">
        <f ca="1">N161+N162</f>
        <v>0</v>
      </c>
      <c r="O160" s="61">
        <f t="shared" ca="1" si="24"/>
        <v>0</v>
      </c>
      <c r="P160" s="61">
        <f t="shared" ca="1" si="25"/>
        <v>0</v>
      </c>
    </row>
    <row r="161" spans="1:16" ht="18.75" hidden="1" x14ac:dyDescent="0.25">
      <c r="A161" s="521"/>
      <c r="B161" s="506"/>
      <c r="C161" s="506"/>
      <c r="D161" s="506"/>
      <c r="E161" s="520" t="s">
        <v>34</v>
      </c>
      <c r="F161" s="506"/>
      <c r="G161" s="505"/>
      <c r="H161" s="522" t="s">
        <v>12</v>
      </c>
      <c r="I161" s="512"/>
      <c r="J161" s="512"/>
      <c r="K161" s="511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157"/>
      <c r="B162" s="53"/>
      <c r="C162" s="53"/>
      <c r="D162" s="53"/>
      <c r="E162" s="336" t="s">
        <v>35</v>
      </c>
      <c r="F162" s="53"/>
      <c r="G162" s="55"/>
      <c r="H162" s="163" t="s">
        <v>12</v>
      </c>
      <c r="I162" s="164"/>
      <c r="J162" s="164"/>
      <c r="K162" s="165"/>
      <c r="L162" s="61">
        <f ca="1">IFERROR(__xludf.DUMMYFUNCTION("IMPORTRANGE(""https://docs.google.com/spreadsheets/d/1-uDff_7J0KD5mKrp0Vvzr7lt3OU09vwQwhkpOPPYv2Y/edit?usp=sharing"",""งบพรบ!CA53"")"),3000)</f>
        <v>3000</v>
      </c>
      <c r="M162" s="61">
        <f ca="1">IFERROR(__xludf.DUMMYFUNCTION("IMPORTRANGE(""https://docs.google.com/spreadsheets/d/1-uDff_7J0KD5mKrp0Vvzr7lt3OU09vwQwhkpOPPYv2Y/edit?usp=sharing"",""งบพรบ!CF53"")"),0)</f>
        <v>0</v>
      </c>
      <c r="N162" s="61">
        <f ca="1">IFERROR(__xludf.DUMMYFUNCTION("IMPORTRANGE(""https://docs.google.com/spreadsheets/d/1-uDff_7J0KD5mKrp0Vvzr7lt3OU09vwQwhkpOPPYv2Y/edit?usp=sharing"",""งบพรบ!CH53"")"),0)</f>
        <v>0</v>
      </c>
      <c r="O162" s="61">
        <f t="shared" ca="1" si="24"/>
        <v>0</v>
      </c>
      <c r="P162" s="61">
        <f t="shared" ca="1" si="25"/>
        <v>0</v>
      </c>
    </row>
    <row r="163" spans="1:16" ht="18.75" x14ac:dyDescent="0.25">
      <c r="A163" s="157"/>
      <c r="B163" s="53"/>
      <c r="C163" s="53"/>
      <c r="D163" s="553" t="s">
        <v>21</v>
      </c>
      <c r="E163" s="53"/>
      <c r="F163" s="53"/>
      <c r="G163" s="55"/>
      <c r="H163" s="166" t="s">
        <v>12</v>
      </c>
      <c r="I163" s="164"/>
      <c r="J163" s="164"/>
      <c r="K163" s="165"/>
      <c r="L163" s="61">
        <f ca="1">L164+L165</f>
        <v>0</v>
      </c>
      <c r="M163" s="61">
        <f ca="1">M164+M165</f>
        <v>0</v>
      </c>
      <c r="N163" s="61">
        <f ca="1">N164+N165</f>
        <v>0</v>
      </c>
      <c r="O163" s="61">
        <f t="shared" ca="1" si="24"/>
        <v>0</v>
      </c>
      <c r="P163" s="61">
        <f t="shared" ca="1" si="25"/>
        <v>0</v>
      </c>
    </row>
    <row r="164" spans="1:16" ht="18.75" hidden="1" x14ac:dyDescent="0.25">
      <c r="A164" s="521"/>
      <c r="B164" s="506"/>
      <c r="C164" s="506"/>
      <c r="D164" s="506"/>
      <c r="E164" s="520" t="s">
        <v>18</v>
      </c>
      <c r="F164" s="506"/>
      <c r="G164" s="505"/>
      <c r="H164" s="522" t="s">
        <v>12</v>
      </c>
      <c r="I164" s="512"/>
      <c r="J164" s="512"/>
      <c r="K164" s="511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157"/>
      <c r="B165" s="53"/>
      <c r="C165" s="53"/>
      <c r="D165" s="53"/>
      <c r="E165" s="336" t="s">
        <v>19</v>
      </c>
      <c r="F165" s="53"/>
      <c r="G165" s="55"/>
      <c r="H165" s="166" t="s">
        <v>12</v>
      </c>
      <c r="I165" s="164"/>
      <c r="J165" s="164"/>
      <c r="K165" s="165"/>
      <c r="L165" s="61">
        <f ca="1">IFERROR(__xludf.DUMMYFUNCTION("IMPORTRANGE(""https://docs.google.com/spreadsheets/d/1-uDff_7J0KD5mKrp0Vvzr7lt3OU09vwQwhkpOPPYv2Y/edit?usp=sharing"",""งบพรบ!CD53"")"),0)</f>
        <v>0</v>
      </c>
      <c r="M165" s="61">
        <f ca="1">IFERROR(__xludf.DUMMYFUNCTION("IMPORTRANGE(""https://docs.google.com/spreadsheets/d/1-uDff_7J0KD5mKrp0Vvzr7lt3OU09vwQwhkpOPPYv2Y/edit?usp=sharing"",""งบพรบ!CG53"")"),0)</f>
        <v>0</v>
      </c>
      <c r="N165" s="61">
        <f ca="1">IFERROR(__xludf.DUMMYFUNCTION("IMPORTRANGE(""https://docs.google.com/spreadsheets/d/1-uDff_7J0KD5mKrp0Vvzr7lt3OU09vwQwhkpOPPYv2Y/edit?usp=sharing"",""งบพรบ!CI53"")"),0)</f>
        <v>0</v>
      </c>
      <c r="O165" s="61">
        <f t="shared" ca="1" si="24"/>
        <v>0</v>
      </c>
      <c r="P165" s="61">
        <f t="shared" ca="1" si="25"/>
        <v>0</v>
      </c>
    </row>
    <row r="166" spans="1:16" ht="19.5" x14ac:dyDescent="0.3">
      <c r="A166" s="167"/>
      <c r="B166" s="168"/>
      <c r="C166" s="158" t="s">
        <v>16</v>
      </c>
      <c r="D166" s="551" t="s">
        <v>36</v>
      </c>
      <c r="E166" s="170"/>
      <c r="F166" s="170"/>
      <c r="G166" s="171"/>
      <c r="H166" s="227"/>
      <c r="I166" s="57"/>
      <c r="J166" s="57"/>
      <c r="K166" s="58"/>
      <c r="L166" s="58"/>
      <c r="M166" s="58"/>
      <c r="N166" s="58"/>
      <c r="O166" s="58"/>
      <c r="P166" s="58"/>
    </row>
    <row r="167" spans="1:16" ht="18.75" x14ac:dyDescent="0.25">
      <c r="A167" s="157"/>
      <c r="B167" s="53"/>
      <c r="C167" s="53"/>
      <c r="D167" s="336" t="s">
        <v>63</v>
      </c>
      <c r="E167" s="53"/>
      <c r="F167" s="53"/>
      <c r="G167" s="55"/>
      <c r="H167" s="166" t="s">
        <v>33</v>
      </c>
      <c r="I167" s="196">
        <f ca="1">IFERROR(__xludf.DUMMYFUNCTION("IMPORTRANGE(""https://docs.google.com/spreadsheets/d/1eHaY18a8A9IcSdp1K8H6x8fbOy06t2VsZHhMHf-1x7Y/edit?usp=sharing"",""แผน!Z53"")"),10)</f>
        <v>10</v>
      </c>
      <c r="J167" s="558">
        <v>0</v>
      </c>
      <c r="K167" s="61">
        <f ca="1">IF(I167&gt;0,J167*100/I167,0)</f>
        <v>0</v>
      </c>
      <c r="L167" s="58"/>
      <c r="M167" s="58"/>
      <c r="N167" s="58"/>
      <c r="O167" s="58"/>
      <c r="P167" s="58"/>
    </row>
    <row r="168" spans="1:16" ht="18.75" hidden="1" x14ac:dyDescent="0.25">
      <c r="A168" s="521"/>
      <c r="B168" s="506"/>
      <c r="C168" s="506"/>
      <c r="D168" s="520" t="s">
        <v>64</v>
      </c>
      <c r="E168" s="506"/>
      <c r="F168" s="506"/>
      <c r="G168" s="505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501"/>
      <c r="M168" s="501"/>
      <c r="N168" s="501"/>
      <c r="O168" s="501"/>
      <c r="P168" s="501"/>
    </row>
    <row r="169" spans="1:16" ht="18.75" hidden="1" x14ac:dyDescent="0.25">
      <c r="A169" s="611"/>
      <c r="B169" s="609"/>
      <c r="C169" s="609"/>
      <c r="D169" s="610" t="s">
        <v>65</v>
      </c>
      <c r="E169" s="609"/>
      <c r="F169" s="609"/>
      <c r="G169" s="608"/>
      <c r="H169" s="607" t="s">
        <v>33</v>
      </c>
      <c r="I169" s="563">
        <f ca="1">I167</f>
        <v>10</v>
      </c>
      <c r="J169" s="606">
        <v>0</v>
      </c>
      <c r="K169" s="605">
        <f ca="1">IF(I169&gt;0,J169*100/I169,0)</f>
        <v>0</v>
      </c>
      <c r="L169" s="604"/>
      <c r="M169" s="604"/>
      <c r="N169" s="604"/>
      <c r="O169" s="604"/>
      <c r="P169" s="604"/>
    </row>
    <row r="170" spans="1:16" ht="19.5" x14ac:dyDescent="0.3">
      <c r="A170" s="257" t="s">
        <v>66</v>
      </c>
      <c r="B170" s="258"/>
      <c r="C170" s="258"/>
      <c r="D170" s="258"/>
      <c r="E170" s="259"/>
      <c r="F170" s="259"/>
      <c r="G170" s="259"/>
      <c r="H170" s="259"/>
      <c r="I170" s="260"/>
      <c r="J170" s="260"/>
      <c r="K170" s="261"/>
      <c r="L170" s="261"/>
      <c r="M170" s="261"/>
      <c r="N170" s="261"/>
      <c r="O170" s="261"/>
      <c r="P170" s="262"/>
    </row>
    <row r="171" spans="1:16" ht="19.5" x14ac:dyDescent="0.3">
      <c r="A171" s="263" t="s">
        <v>67</v>
      </c>
      <c r="B171" s="264"/>
      <c r="C171" s="264"/>
      <c r="D171" s="265"/>
      <c r="E171" s="265"/>
      <c r="F171" s="265"/>
      <c r="G171" s="266"/>
      <c r="H171" s="266"/>
      <c r="I171" s="267"/>
      <c r="J171" s="267"/>
      <c r="K171" s="268"/>
      <c r="L171" s="268"/>
      <c r="M171" s="268"/>
      <c r="N171" s="268"/>
      <c r="O171" s="268"/>
      <c r="P171" s="268"/>
    </row>
    <row r="172" spans="1:16" ht="19.5" x14ac:dyDescent="0.3">
      <c r="A172" s="269"/>
      <c r="B172" s="406" t="s">
        <v>68</v>
      </c>
      <c r="C172" s="271"/>
      <c r="D172" s="170"/>
      <c r="E172" s="170"/>
      <c r="F172" s="170"/>
      <c r="G172" s="171"/>
      <c r="H172" s="272" t="s">
        <v>33</v>
      </c>
      <c r="I172" s="335">
        <f ca="1">I183+I184</f>
        <v>7</v>
      </c>
      <c r="J172" s="335">
        <f>J183+J184</f>
        <v>0</v>
      </c>
      <c r="K172" s="274">
        <f ca="1">IF(I172&gt;0,J172*100/I172,0)</f>
        <v>0</v>
      </c>
      <c r="L172" s="275"/>
      <c r="M172" s="275"/>
      <c r="N172" s="275"/>
      <c r="O172" s="275"/>
      <c r="P172" s="275"/>
    </row>
    <row r="173" spans="1:16" ht="19.5" x14ac:dyDescent="0.3">
      <c r="A173" s="157"/>
      <c r="B173" s="53"/>
      <c r="C173" s="158" t="s">
        <v>16</v>
      </c>
      <c r="D173" s="554" t="s">
        <v>17</v>
      </c>
      <c r="E173" s="53"/>
      <c r="F173" s="53"/>
      <c r="G173" s="55"/>
      <c r="H173" s="160" t="s">
        <v>12</v>
      </c>
      <c r="I173" s="57"/>
      <c r="J173" s="57"/>
      <c r="K173" s="58"/>
      <c r="L173" s="161">
        <f ca="1">L174+L175</f>
        <v>19590</v>
      </c>
      <c r="M173" s="161">
        <f ca="1">M174+M175</f>
        <v>19590</v>
      </c>
      <c r="N173" s="161">
        <f ca="1">N174+N175</f>
        <v>0</v>
      </c>
      <c r="O173" s="161">
        <f t="shared" ref="O173:O181" ca="1" si="27">IF(L173&gt;0,N173*100/L173,0)</f>
        <v>0</v>
      </c>
      <c r="P173" s="161">
        <f t="shared" ref="P173:P181" ca="1" si="28">IF(M173&gt;0,N173*100/M173,0)</f>
        <v>0</v>
      </c>
    </row>
    <row r="174" spans="1:16" ht="18.75" hidden="1" x14ac:dyDescent="0.25">
      <c r="A174" s="521"/>
      <c r="B174" s="506"/>
      <c r="C174" s="506"/>
      <c r="D174" s="506"/>
      <c r="E174" s="520" t="s">
        <v>18</v>
      </c>
      <c r="F174" s="506"/>
      <c r="G174" s="505"/>
      <c r="H174" s="524" t="s">
        <v>12</v>
      </c>
      <c r="I174" s="199"/>
      <c r="J174" s="199"/>
      <c r="K174" s="501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157"/>
      <c r="B175" s="53"/>
      <c r="C175" s="53"/>
      <c r="D175" s="53"/>
      <c r="E175" s="336" t="s">
        <v>19</v>
      </c>
      <c r="F175" s="53"/>
      <c r="G175" s="55"/>
      <c r="H175" s="162" t="s">
        <v>12</v>
      </c>
      <c r="I175" s="57"/>
      <c r="J175" s="57"/>
      <c r="K175" s="58"/>
      <c r="L175" s="61">
        <f t="shared" ca="1" si="29"/>
        <v>19590</v>
      </c>
      <c r="M175" s="61">
        <f t="shared" ca="1" si="29"/>
        <v>19590</v>
      </c>
      <c r="N175" s="61">
        <f t="shared" ca="1" si="29"/>
        <v>0</v>
      </c>
      <c r="O175" s="61">
        <f t="shared" ca="1" si="27"/>
        <v>0</v>
      </c>
      <c r="P175" s="61">
        <f t="shared" ca="1" si="28"/>
        <v>0</v>
      </c>
    </row>
    <row r="176" spans="1:16" ht="18.75" x14ac:dyDescent="0.25">
      <c r="A176" s="157"/>
      <c r="B176" s="53"/>
      <c r="C176" s="53"/>
      <c r="D176" s="553" t="s">
        <v>20</v>
      </c>
      <c r="E176" s="53"/>
      <c r="F176" s="53"/>
      <c r="G176" s="55"/>
      <c r="H176" s="163" t="s">
        <v>12</v>
      </c>
      <c r="I176" s="164"/>
      <c r="J176" s="164"/>
      <c r="K176" s="165"/>
      <c r="L176" s="61">
        <f ca="1">L177+L178</f>
        <v>19590</v>
      </c>
      <c r="M176" s="61">
        <f ca="1">M177+M178</f>
        <v>19590</v>
      </c>
      <c r="N176" s="61">
        <f ca="1">N177+N178</f>
        <v>0</v>
      </c>
      <c r="O176" s="61">
        <f t="shared" ca="1" si="27"/>
        <v>0</v>
      </c>
      <c r="P176" s="61">
        <f t="shared" ca="1" si="28"/>
        <v>0</v>
      </c>
    </row>
    <row r="177" spans="1:16" ht="18.75" hidden="1" x14ac:dyDescent="0.25">
      <c r="A177" s="521"/>
      <c r="B177" s="506"/>
      <c r="C177" s="506"/>
      <c r="D177" s="506"/>
      <c r="E177" s="520" t="s">
        <v>34</v>
      </c>
      <c r="F177" s="506"/>
      <c r="G177" s="505"/>
      <c r="H177" s="522" t="s">
        <v>12</v>
      </c>
      <c r="I177" s="512"/>
      <c r="J177" s="512"/>
      <c r="K177" s="511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157"/>
      <c r="B178" s="53"/>
      <c r="C178" s="53"/>
      <c r="D178" s="53"/>
      <c r="E178" s="336" t="s">
        <v>35</v>
      </c>
      <c r="F178" s="53"/>
      <c r="G178" s="55"/>
      <c r="H178" s="163" t="s">
        <v>12</v>
      </c>
      <c r="I178" s="164"/>
      <c r="J178" s="164"/>
      <c r="K178" s="165"/>
      <c r="L178" s="61">
        <f ca="1">IFERROR(__xludf.DUMMYFUNCTION("IMPORTRANGE(""https://docs.google.com/spreadsheets/d/1-uDff_7J0KD5mKrp0Vvzr7lt3OU09vwQwhkpOPPYv2Y/edit?usp=sharing"",""งบพรบ!CK53"")"),19590)</f>
        <v>19590</v>
      </c>
      <c r="M178" s="61">
        <f ca="1">IFERROR(__xludf.DUMMYFUNCTION("IMPORTRANGE(""https://docs.google.com/spreadsheets/d/1-uDff_7J0KD5mKrp0Vvzr7lt3OU09vwQwhkpOPPYv2Y/edit?usp=sharing"",""งบพรบ!CP53"")"),19590)</f>
        <v>19590</v>
      </c>
      <c r="N178" s="61">
        <f ca="1">IFERROR(__xludf.DUMMYFUNCTION("IMPORTRANGE(""https://docs.google.com/spreadsheets/d/1-uDff_7J0KD5mKrp0Vvzr7lt3OU09vwQwhkpOPPYv2Y/edit?usp=sharing"",""งบพรบ!CR53"")"),0)</f>
        <v>0</v>
      </c>
      <c r="O178" s="61">
        <f t="shared" ca="1" si="27"/>
        <v>0</v>
      </c>
      <c r="P178" s="61">
        <f t="shared" ca="1" si="28"/>
        <v>0</v>
      </c>
    </row>
    <row r="179" spans="1:16" ht="18.75" x14ac:dyDescent="0.25">
      <c r="A179" s="157"/>
      <c r="B179" s="53"/>
      <c r="C179" s="53"/>
      <c r="D179" s="553" t="s">
        <v>21</v>
      </c>
      <c r="E179" s="53"/>
      <c r="F179" s="53"/>
      <c r="G179" s="55"/>
      <c r="H179" s="166" t="s">
        <v>12</v>
      </c>
      <c r="I179" s="164"/>
      <c r="J179" s="164"/>
      <c r="K179" s="165"/>
      <c r="L179" s="61">
        <f ca="1">L180+L181</f>
        <v>0</v>
      </c>
      <c r="M179" s="61">
        <f ca="1">M180+M181</f>
        <v>0</v>
      </c>
      <c r="N179" s="61">
        <f ca="1">N180+N181</f>
        <v>0</v>
      </c>
      <c r="O179" s="61">
        <f t="shared" ca="1" si="27"/>
        <v>0</v>
      </c>
      <c r="P179" s="61">
        <f t="shared" ca="1" si="28"/>
        <v>0</v>
      </c>
    </row>
    <row r="180" spans="1:16" ht="18.75" hidden="1" x14ac:dyDescent="0.25">
      <c r="A180" s="521"/>
      <c r="B180" s="506"/>
      <c r="C180" s="506"/>
      <c r="D180" s="506"/>
      <c r="E180" s="520" t="s">
        <v>18</v>
      </c>
      <c r="F180" s="506"/>
      <c r="G180" s="505"/>
      <c r="H180" s="522" t="s">
        <v>12</v>
      </c>
      <c r="I180" s="512"/>
      <c r="J180" s="512"/>
      <c r="K180" s="511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157"/>
      <c r="B181" s="53"/>
      <c r="C181" s="53"/>
      <c r="D181" s="53"/>
      <c r="E181" s="336" t="s">
        <v>19</v>
      </c>
      <c r="F181" s="53"/>
      <c r="G181" s="55"/>
      <c r="H181" s="166" t="s">
        <v>12</v>
      </c>
      <c r="I181" s="164"/>
      <c r="J181" s="164"/>
      <c r="K181" s="165"/>
      <c r="L181" s="61">
        <f ca="1">IFERROR(__xludf.DUMMYFUNCTION("IMPORTRANGE(""https://docs.google.com/spreadsheets/d/1-uDff_7J0KD5mKrp0Vvzr7lt3OU09vwQwhkpOPPYv2Y/edit?usp=sharing"",""งบพรบ!CN53"")"),0)</f>
        <v>0</v>
      </c>
      <c r="M181" s="61">
        <f ca="1">IFERROR(__xludf.DUMMYFUNCTION("IMPORTRANGE(""https://docs.google.com/spreadsheets/d/1-uDff_7J0KD5mKrp0Vvzr7lt3OU09vwQwhkpOPPYv2Y/edit?usp=sharing"",""งบพรบ!CQ53"")"),0)</f>
        <v>0</v>
      </c>
      <c r="N181" s="61">
        <f ca="1">IFERROR(__xludf.DUMMYFUNCTION("IMPORTRANGE(""https://docs.google.com/spreadsheets/d/1-uDff_7J0KD5mKrp0Vvzr7lt3OU09vwQwhkpOPPYv2Y/edit?usp=sharing"",""งบพรบ!CS53"")"),0)</f>
        <v>0</v>
      </c>
      <c r="O181" s="61">
        <f t="shared" ca="1" si="27"/>
        <v>0</v>
      </c>
      <c r="P181" s="61">
        <f t="shared" ca="1" si="28"/>
        <v>0</v>
      </c>
    </row>
    <row r="182" spans="1:16" ht="19.5" x14ac:dyDescent="0.3">
      <c r="A182" s="167"/>
      <c r="B182" s="168"/>
      <c r="C182" s="158" t="s">
        <v>16</v>
      </c>
      <c r="D182" s="551" t="s">
        <v>36</v>
      </c>
      <c r="E182" s="170"/>
      <c r="F182" s="170"/>
      <c r="G182" s="171"/>
      <c r="H182" s="227"/>
      <c r="I182" s="57"/>
      <c r="J182" s="57"/>
      <c r="K182" s="58"/>
      <c r="L182" s="58"/>
      <c r="M182" s="58"/>
      <c r="N182" s="58"/>
      <c r="O182" s="58"/>
      <c r="P182" s="58"/>
    </row>
    <row r="183" spans="1:16" ht="18.75" x14ac:dyDescent="0.25">
      <c r="A183" s="276"/>
      <c r="B183" s="53"/>
      <c r="C183" s="278"/>
      <c r="D183" s="278" t="s">
        <v>69</v>
      </c>
      <c r="E183" s="53"/>
      <c r="F183" s="53"/>
      <c r="G183" s="55"/>
      <c r="H183" s="279" t="s">
        <v>33</v>
      </c>
      <c r="I183" s="196">
        <f ca="1">IFERROR(__xludf.DUMMYFUNCTION("IMPORTRANGE(""https://docs.google.com/spreadsheets/d/1eHaY18a8A9IcSdp1K8H6x8fbOy06t2VsZHhMHf-1x7Y/edit?usp=sharing"",""แผน!AA53"")"),7)</f>
        <v>7</v>
      </c>
      <c r="J183" s="558">
        <v>0</v>
      </c>
      <c r="K183" s="61">
        <f ca="1">IF(I183&gt;0,J183*100/I183,0)</f>
        <v>0</v>
      </c>
      <c r="L183" s="58"/>
      <c r="M183" s="58"/>
      <c r="N183" s="58"/>
      <c r="O183" s="58"/>
      <c r="P183" s="58"/>
    </row>
    <row r="184" spans="1:16" ht="18.75" hidden="1" x14ac:dyDescent="0.25">
      <c r="A184" s="510"/>
      <c r="B184" s="509"/>
      <c r="C184" s="603"/>
      <c r="D184" s="603" t="s">
        <v>70</v>
      </c>
      <c r="E184" s="506"/>
      <c r="F184" s="506"/>
      <c r="G184" s="505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501"/>
      <c r="M184" s="501"/>
      <c r="N184" s="501"/>
      <c r="O184" s="501"/>
      <c r="P184" s="501"/>
    </row>
    <row r="185" spans="1:16" ht="19.5" x14ac:dyDescent="0.3">
      <c r="A185" s="269"/>
      <c r="B185" s="406" t="s">
        <v>71</v>
      </c>
      <c r="C185" s="271"/>
      <c r="D185" s="170"/>
      <c r="E185" s="170"/>
      <c r="F185" s="170"/>
      <c r="G185" s="171"/>
      <c r="H185" s="272" t="s">
        <v>33</v>
      </c>
      <c r="I185" s="335">
        <f ca="1">I230+I231</f>
        <v>30</v>
      </c>
      <c r="J185" s="335">
        <f>J230+J231</f>
        <v>30</v>
      </c>
      <c r="K185" s="274">
        <f ca="1">IF(I185&gt;0,J185*100/I185,0)</f>
        <v>100</v>
      </c>
      <c r="L185" s="275"/>
      <c r="M185" s="275"/>
      <c r="N185" s="275"/>
      <c r="O185" s="275"/>
      <c r="P185" s="275"/>
    </row>
    <row r="186" spans="1:16" ht="19.5" x14ac:dyDescent="0.3">
      <c r="A186" s="157"/>
      <c r="B186" s="53"/>
      <c r="C186" s="158" t="s">
        <v>16</v>
      </c>
      <c r="D186" s="554" t="s">
        <v>17</v>
      </c>
      <c r="E186" s="53"/>
      <c r="F186" s="53"/>
      <c r="G186" s="55"/>
      <c r="H186" s="160" t="s">
        <v>12</v>
      </c>
      <c r="I186" s="57"/>
      <c r="J186" s="57"/>
      <c r="K186" s="58"/>
      <c r="L186" s="161">
        <f ca="1">L187+L188</f>
        <v>199100</v>
      </c>
      <c r="M186" s="161">
        <f ca="1">M187+M188</f>
        <v>172100</v>
      </c>
      <c r="N186" s="161">
        <f ca="1">N187+N188</f>
        <v>97825</v>
      </c>
      <c r="O186" s="161">
        <f t="shared" ref="O186:O194" ca="1" si="30">IF(L186&gt;0,N186*100/L186,0)</f>
        <v>49.133601205424412</v>
      </c>
      <c r="P186" s="161">
        <f t="shared" ref="P186:P194" ca="1" si="31">IF(M186&gt;0,N186*100/M186,0)</f>
        <v>56.841952353282977</v>
      </c>
    </row>
    <row r="187" spans="1:16" ht="18.75" hidden="1" x14ac:dyDescent="0.25">
      <c r="A187" s="521"/>
      <c r="B187" s="506"/>
      <c r="C187" s="506"/>
      <c r="D187" s="506"/>
      <c r="E187" s="520" t="s">
        <v>18</v>
      </c>
      <c r="F187" s="506"/>
      <c r="G187" s="505"/>
      <c r="H187" s="524" t="s">
        <v>12</v>
      </c>
      <c r="I187" s="199"/>
      <c r="J187" s="199"/>
      <c r="K187" s="501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157"/>
      <c r="B188" s="53"/>
      <c r="C188" s="53"/>
      <c r="D188" s="53"/>
      <c r="E188" s="336" t="s">
        <v>19</v>
      </c>
      <c r="F188" s="53"/>
      <c r="G188" s="55"/>
      <c r="H188" s="162" t="s">
        <v>12</v>
      </c>
      <c r="I188" s="57"/>
      <c r="J188" s="57"/>
      <c r="K188" s="58"/>
      <c r="L188" s="61">
        <f t="shared" ca="1" si="32"/>
        <v>199100</v>
      </c>
      <c r="M188" s="61">
        <f t="shared" ca="1" si="32"/>
        <v>172100</v>
      </c>
      <c r="N188" s="61">
        <f t="shared" ca="1" si="32"/>
        <v>97825</v>
      </c>
      <c r="O188" s="61">
        <f t="shared" ca="1" si="30"/>
        <v>49.133601205424412</v>
      </c>
      <c r="P188" s="61">
        <f t="shared" ca="1" si="31"/>
        <v>56.841952353282977</v>
      </c>
    </row>
    <row r="189" spans="1:16" ht="18.75" x14ac:dyDescent="0.25">
      <c r="A189" s="157"/>
      <c r="B189" s="53"/>
      <c r="C189" s="53"/>
      <c r="D189" s="553" t="s">
        <v>20</v>
      </c>
      <c r="E189" s="53"/>
      <c r="F189" s="53"/>
      <c r="G189" s="55"/>
      <c r="H189" s="163" t="s">
        <v>12</v>
      </c>
      <c r="I189" s="164"/>
      <c r="J189" s="164"/>
      <c r="K189" s="165"/>
      <c r="L189" s="61">
        <f ca="1">L190+L191</f>
        <v>199100</v>
      </c>
      <c r="M189" s="61">
        <f ca="1">M190+M191</f>
        <v>172100</v>
      </c>
      <c r="N189" s="61">
        <f ca="1">N190+N191</f>
        <v>97825</v>
      </c>
      <c r="O189" s="61">
        <f t="shared" ca="1" si="30"/>
        <v>49.133601205424412</v>
      </c>
      <c r="P189" s="61">
        <f t="shared" ca="1" si="31"/>
        <v>56.841952353282977</v>
      </c>
    </row>
    <row r="190" spans="1:16" ht="18.75" hidden="1" x14ac:dyDescent="0.25">
      <c r="A190" s="521"/>
      <c r="B190" s="506"/>
      <c r="C190" s="506"/>
      <c r="D190" s="506"/>
      <c r="E190" s="520" t="s">
        <v>34</v>
      </c>
      <c r="F190" s="506"/>
      <c r="G190" s="505"/>
      <c r="H190" s="522" t="s">
        <v>12</v>
      </c>
      <c r="I190" s="512"/>
      <c r="J190" s="512"/>
      <c r="K190" s="511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157"/>
      <c r="B191" s="53"/>
      <c r="C191" s="53"/>
      <c r="D191" s="53"/>
      <c r="E191" s="336" t="s">
        <v>35</v>
      </c>
      <c r="F191" s="53"/>
      <c r="G191" s="55"/>
      <c r="H191" s="163" t="s">
        <v>12</v>
      </c>
      <c r="I191" s="164"/>
      <c r="J191" s="164"/>
      <c r="K191" s="165"/>
      <c r="L191" s="61">
        <f ca="1">IFERROR(__xludf.DUMMYFUNCTION("IMPORTRANGE(""https://docs.google.com/spreadsheets/d/1-uDff_7J0KD5mKrp0Vvzr7lt3OU09vwQwhkpOPPYv2Y/edit?usp=sharing"",""งบพรบ!CU53"")"),199100)</f>
        <v>199100</v>
      </c>
      <c r="M191" s="61">
        <f ca="1">IFERROR(__xludf.DUMMYFUNCTION("IMPORTRANGE(""https://docs.google.com/spreadsheets/d/1-uDff_7J0KD5mKrp0Vvzr7lt3OU09vwQwhkpOPPYv2Y/edit?usp=sharing"",""งบพรบ!CZ53"")"),172100)</f>
        <v>172100</v>
      </c>
      <c r="N191" s="61">
        <f ca="1">IFERROR(__xludf.DUMMYFUNCTION("IMPORTRANGE(""https://docs.google.com/spreadsheets/d/1-uDff_7J0KD5mKrp0Vvzr7lt3OU09vwQwhkpOPPYv2Y/edit?usp=sharing"",""งบพรบ!DB53"")"),97825)</f>
        <v>97825</v>
      </c>
      <c r="O191" s="61">
        <f t="shared" ca="1" si="30"/>
        <v>49.133601205424412</v>
      </c>
      <c r="P191" s="61">
        <f t="shared" ca="1" si="31"/>
        <v>56.841952353282977</v>
      </c>
    </row>
    <row r="192" spans="1:16" ht="18.75" x14ac:dyDescent="0.25">
      <c r="A192" s="157"/>
      <c r="B192" s="53"/>
      <c r="C192" s="53"/>
      <c r="D192" s="553" t="s">
        <v>21</v>
      </c>
      <c r="E192" s="53"/>
      <c r="F192" s="53"/>
      <c r="G192" s="55"/>
      <c r="H192" s="166" t="s">
        <v>12</v>
      </c>
      <c r="I192" s="164"/>
      <c r="J192" s="164"/>
      <c r="K192" s="165"/>
      <c r="L192" s="61">
        <f ca="1">L193+L194</f>
        <v>0</v>
      </c>
      <c r="M192" s="61">
        <f ca="1">M193+M194</f>
        <v>0</v>
      </c>
      <c r="N192" s="61">
        <f ca="1">N193+N194</f>
        <v>0</v>
      </c>
      <c r="O192" s="61">
        <f t="shared" ca="1" si="30"/>
        <v>0</v>
      </c>
      <c r="P192" s="61">
        <f t="shared" ca="1" si="31"/>
        <v>0</v>
      </c>
    </row>
    <row r="193" spans="1:16" ht="18.75" hidden="1" x14ac:dyDescent="0.25">
      <c r="A193" s="521"/>
      <c r="B193" s="506"/>
      <c r="C193" s="506"/>
      <c r="D193" s="506"/>
      <c r="E193" s="520" t="s">
        <v>18</v>
      </c>
      <c r="F193" s="506"/>
      <c r="G193" s="505"/>
      <c r="H193" s="522" t="s">
        <v>12</v>
      </c>
      <c r="I193" s="512"/>
      <c r="J193" s="512"/>
      <c r="K193" s="511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157"/>
      <c r="B194" s="53"/>
      <c r="C194" s="53"/>
      <c r="D194" s="53"/>
      <c r="E194" s="336" t="s">
        <v>19</v>
      </c>
      <c r="F194" s="53"/>
      <c r="G194" s="55"/>
      <c r="H194" s="166" t="s">
        <v>12</v>
      </c>
      <c r="I194" s="164"/>
      <c r="J194" s="164"/>
      <c r="K194" s="165"/>
      <c r="L194" s="61">
        <f ca="1">IFERROR(__xludf.DUMMYFUNCTION("IMPORTRANGE(""https://docs.google.com/spreadsheets/d/1-uDff_7J0KD5mKrp0Vvzr7lt3OU09vwQwhkpOPPYv2Y/edit?usp=sharing"",""งบพรบ!CX53"")"),0)</f>
        <v>0</v>
      </c>
      <c r="M194" s="61">
        <f ca="1">IFERROR(__xludf.DUMMYFUNCTION("IMPORTRANGE(""https://docs.google.com/spreadsheets/d/1-uDff_7J0KD5mKrp0Vvzr7lt3OU09vwQwhkpOPPYv2Y/edit?usp=sharing"",""งบพรบ!DA53"")"),0)</f>
        <v>0</v>
      </c>
      <c r="N194" s="61">
        <f ca="1">IFERROR(__xludf.DUMMYFUNCTION("IMPORTRANGE(""https://docs.google.com/spreadsheets/d/1-uDff_7J0KD5mKrp0Vvzr7lt3OU09vwQwhkpOPPYv2Y/edit?usp=sharing"",""งบพรบ!DC53"")"),0)</f>
        <v>0</v>
      </c>
      <c r="O194" s="61">
        <f t="shared" ca="1" si="30"/>
        <v>0</v>
      </c>
      <c r="P194" s="61">
        <f t="shared" ca="1" si="31"/>
        <v>0</v>
      </c>
    </row>
    <row r="195" spans="1:16" ht="19.5" x14ac:dyDescent="0.3">
      <c r="A195" s="281"/>
      <c r="B195" s="282"/>
      <c r="C195" s="283" t="s">
        <v>72</v>
      </c>
      <c r="D195" s="284"/>
      <c r="E195" s="284"/>
      <c r="F195" s="284"/>
      <c r="G195" s="285"/>
      <c r="H195" s="286" t="s">
        <v>73</v>
      </c>
      <c r="I195" s="287">
        <f ca="1">I198</f>
        <v>4</v>
      </c>
      <c r="J195" s="287">
        <f>J198</f>
        <v>1</v>
      </c>
      <c r="K195" s="288">
        <f ca="1">IF(I195&gt;0,J195*100/I195,0)</f>
        <v>25</v>
      </c>
      <c r="L195" s="289"/>
      <c r="M195" s="289"/>
      <c r="N195" s="289"/>
      <c r="O195" s="289"/>
      <c r="P195" s="289"/>
    </row>
    <row r="196" spans="1:16" ht="19.5" x14ac:dyDescent="0.3">
      <c r="A196" s="157"/>
      <c r="B196" s="53"/>
      <c r="C196" s="158" t="s">
        <v>16</v>
      </c>
      <c r="D196" s="601" t="s">
        <v>17</v>
      </c>
      <c r="E196" s="53"/>
      <c r="F196" s="53"/>
      <c r="G196" s="55"/>
      <c r="H196" s="291" t="s">
        <v>12</v>
      </c>
      <c r="I196" s="57"/>
      <c r="J196" s="57"/>
      <c r="K196" s="58"/>
      <c r="L196" s="161">
        <f ca="1">IFERROR(__xludf.DUMMYFUNCTION("IMPORTRANGE(""https://docs.google.com/spreadsheets/d/1eHaY18a8A9IcSdp1K8H6x8fbOy06t2VsZHhMHf-1x7Y/edit?usp=sharing"",""แผน!AB53"")"),6000)</f>
        <v>6000</v>
      </c>
      <c r="M196" s="58"/>
      <c r="N196" s="602">
        <v>2660</v>
      </c>
      <c r="O196" s="161">
        <f ca="1">IF(L196&gt;0,N196*100/L196,0)</f>
        <v>44.333333333333336</v>
      </c>
      <c r="P196" s="161">
        <f>IF(M196&gt;0,N196*100/M196,0)</f>
        <v>0</v>
      </c>
    </row>
    <row r="197" spans="1:16" ht="19.5" x14ac:dyDescent="0.3">
      <c r="A197" s="167"/>
      <c r="B197" s="168"/>
      <c r="C197" s="158" t="s">
        <v>16</v>
      </c>
      <c r="D197" s="551" t="s">
        <v>36</v>
      </c>
      <c r="E197" s="170"/>
      <c r="F197" s="170"/>
      <c r="G197" s="171"/>
      <c r="H197" s="172"/>
      <c r="I197" s="57"/>
      <c r="J197" s="57"/>
      <c r="K197" s="58"/>
      <c r="L197" s="58"/>
      <c r="M197" s="58"/>
      <c r="N197" s="58"/>
      <c r="O197" s="58"/>
      <c r="P197" s="58"/>
    </row>
    <row r="198" spans="1:16" ht="18.75" x14ac:dyDescent="0.25">
      <c r="A198" s="167"/>
      <c r="B198" s="168"/>
      <c r="C198" s="168"/>
      <c r="D198" s="195" t="s">
        <v>74</v>
      </c>
      <c r="E198" s="174"/>
      <c r="F198" s="174"/>
      <c r="G198" s="172"/>
      <c r="H198" s="297" t="s">
        <v>73</v>
      </c>
      <c r="I198" s="196">
        <f ca="1">IFERROR(__xludf.DUMMYFUNCTION("IMPORTRANGE(""https://docs.google.com/spreadsheets/d/1eHaY18a8A9IcSdp1K8H6x8fbOy06t2VsZHhMHf-1x7Y/edit?usp=sharing"",""แผน!AE53"")"),4)</f>
        <v>4</v>
      </c>
      <c r="J198" s="558">
        <v>1</v>
      </c>
      <c r="K198" s="61">
        <f ca="1">IF(I198&gt;0,J198*100/I198,0)</f>
        <v>25</v>
      </c>
      <c r="L198" s="58"/>
      <c r="M198" s="58"/>
      <c r="N198" s="58"/>
      <c r="O198" s="58"/>
      <c r="P198" s="58"/>
    </row>
    <row r="199" spans="1:16" ht="18.75" x14ac:dyDescent="0.25">
      <c r="A199" s="167"/>
      <c r="B199" s="168"/>
      <c r="C199" s="168"/>
      <c r="D199" s="195" t="s">
        <v>75</v>
      </c>
      <c r="E199" s="174"/>
      <c r="F199" s="174"/>
      <c r="G199" s="172"/>
      <c r="H199" s="279" t="s">
        <v>33</v>
      </c>
      <c r="I199" s="57"/>
      <c r="J199" s="196">
        <f>J200+J201</f>
        <v>47</v>
      </c>
      <c r="K199" s="58"/>
      <c r="L199" s="58"/>
      <c r="M199" s="58"/>
      <c r="N199" s="58"/>
      <c r="O199" s="58"/>
      <c r="P199" s="58"/>
    </row>
    <row r="200" spans="1:16" ht="18.75" x14ac:dyDescent="0.25">
      <c r="A200" s="167"/>
      <c r="B200" s="168"/>
      <c r="C200" s="168"/>
      <c r="D200" s="168"/>
      <c r="E200" s="195" t="s">
        <v>76</v>
      </c>
      <c r="F200" s="174"/>
      <c r="G200" s="172"/>
      <c r="H200" s="279" t="s">
        <v>33</v>
      </c>
      <c r="I200" s="57"/>
      <c r="J200" s="558">
        <v>47</v>
      </c>
      <c r="K200" s="58"/>
      <c r="L200" s="58"/>
      <c r="M200" s="58"/>
      <c r="N200" s="58"/>
      <c r="O200" s="58"/>
      <c r="P200" s="58"/>
    </row>
    <row r="201" spans="1:16" ht="18.75" x14ac:dyDescent="0.25">
      <c r="A201" s="167"/>
      <c r="B201" s="168"/>
      <c r="C201" s="168"/>
      <c r="D201" s="168"/>
      <c r="E201" s="195" t="s">
        <v>77</v>
      </c>
      <c r="F201" s="174"/>
      <c r="G201" s="172"/>
      <c r="H201" s="279" t="s">
        <v>33</v>
      </c>
      <c r="I201" s="57"/>
      <c r="J201" s="558">
        <v>0</v>
      </c>
      <c r="K201" s="58"/>
      <c r="L201" s="58"/>
      <c r="M201" s="58"/>
      <c r="N201" s="58"/>
      <c r="O201" s="58"/>
      <c r="P201" s="58"/>
    </row>
    <row r="202" spans="1:16" ht="19.5" x14ac:dyDescent="0.3">
      <c r="A202" s="281"/>
      <c r="B202" s="282"/>
      <c r="C202" s="283" t="s">
        <v>78</v>
      </c>
      <c r="D202" s="284"/>
      <c r="E202" s="284"/>
      <c r="F202" s="284"/>
      <c r="G202" s="285"/>
      <c r="H202" s="445" t="s">
        <v>79</v>
      </c>
      <c r="I202" s="287">
        <f ca="1">I209</f>
        <v>1</v>
      </c>
      <c r="J202" s="287">
        <f>J209</f>
        <v>0</v>
      </c>
      <c r="K202" s="288">
        <f ca="1">IF(I202&gt;0,J202*100/I202,0)</f>
        <v>0</v>
      </c>
      <c r="L202" s="289"/>
      <c r="M202" s="289"/>
      <c r="N202" s="289"/>
      <c r="O202" s="289"/>
      <c r="P202" s="289"/>
    </row>
    <row r="203" spans="1:16" ht="19.5" x14ac:dyDescent="0.3">
      <c r="A203" s="157"/>
      <c r="B203" s="53"/>
      <c r="C203" s="158" t="s">
        <v>16</v>
      </c>
      <c r="D203" s="601" t="s">
        <v>17</v>
      </c>
      <c r="E203" s="53"/>
      <c r="F203" s="53"/>
      <c r="G203" s="55"/>
      <c r="H203" s="291" t="s">
        <v>12</v>
      </c>
      <c r="I203" s="164"/>
      <c r="J203" s="164"/>
      <c r="K203" s="165"/>
      <c r="L203" s="161">
        <f ca="1">L204+L205+L206+L207</f>
        <v>13000</v>
      </c>
      <c r="M203" s="58"/>
      <c r="N203" s="161">
        <f>N204+N205+N206+N207</f>
        <v>0</v>
      </c>
      <c r="O203" s="161">
        <f ca="1">IF(L203&gt;0,N203*100/L203,0)</f>
        <v>0</v>
      </c>
      <c r="P203" s="161">
        <f>IF(M203&gt;0,N203*100/M203,0)</f>
        <v>0</v>
      </c>
    </row>
    <row r="204" spans="1:16" ht="18.75" x14ac:dyDescent="0.25">
      <c r="A204" s="157"/>
      <c r="B204" s="280"/>
      <c r="C204" s="53"/>
      <c r="D204" s="294" t="s">
        <v>152</v>
      </c>
      <c r="E204" s="53"/>
      <c r="F204" s="53"/>
      <c r="G204" s="55"/>
      <c r="H204" s="163" t="s">
        <v>12</v>
      </c>
      <c r="I204" s="164"/>
      <c r="J204" s="164"/>
      <c r="K204" s="165"/>
      <c r="L204" s="61">
        <f ca="1">IFERROR(__xludf.DUMMYFUNCTION("IMPORTRANGE(""https://docs.google.com/spreadsheets/d/1eHaY18a8A9IcSdp1K8H6x8fbOy06t2VsZHhMHf-1x7Y/edit?usp=sharing"",""แผน!AG53"")"),1000)</f>
        <v>1000</v>
      </c>
      <c r="M204" s="58"/>
      <c r="N204" s="600">
        <v>0</v>
      </c>
      <c r="O204" s="183"/>
      <c r="P204" s="58"/>
    </row>
    <row r="205" spans="1:16" ht="18.75" x14ac:dyDescent="0.25">
      <c r="A205" s="276"/>
      <c r="B205" s="280"/>
      <c r="C205" s="53"/>
      <c r="D205" s="295" t="s">
        <v>81</v>
      </c>
      <c r="E205" s="53"/>
      <c r="F205" s="53"/>
      <c r="G205" s="55"/>
      <c r="H205" s="56" t="s">
        <v>12</v>
      </c>
      <c r="I205" s="57"/>
      <c r="J205" s="57"/>
      <c r="K205" s="58"/>
      <c r="L205" s="61">
        <f ca="1">IFERROR(__xludf.DUMMYFUNCTION("IMPORTRANGE(""https://docs.google.com/spreadsheets/d/1eHaY18a8A9IcSdp1K8H6x8fbOy06t2VsZHhMHf-1x7Y/edit?usp=sharing"",""แผน!AH53"")"),0)</f>
        <v>0</v>
      </c>
      <c r="M205" s="58"/>
      <c r="N205" s="600">
        <v>0</v>
      </c>
      <c r="O205" s="183"/>
      <c r="P205" s="58"/>
    </row>
    <row r="206" spans="1:16" ht="18.75" x14ac:dyDescent="0.25">
      <c r="A206" s="276"/>
      <c r="B206" s="280"/>
      <c r="C206" s="53"/>
      <c r="D206" s="295" t="s">
        <v>82</v>
      </c>
      <c r="E206" s="53"/>
      <c r="F206" s="53"/>
      <c r="G206" s="55"/>
      <c r="H206" s="56" t="s">
        <v>12</v>
      </c>
      <c r="I206" s="57"/>
      <c r="J206" s="57"/>
      <c r="K206" s="58"/>
      <c r="L206" s="61">
        <f ca="1">IFERROR(__xludf.DUMMYFUNCTION("IMPORTRANGE(""https://docs.google.com/spreadsheets/d/1eHaY18a8A9IcSdp1K8H6x8fbOy06t2VsZHhMHf-1x7Y/edit?usp=sharing"",""แผน!AI53"")"),8000)</f>
        <v>8000</v>
      </c>
      <c r="M206" s="58"/>
      <c r="N206" s="600">
        <v>0</v>
      </c>
      <c r="O206" s="183"/>
      <c r="P206" s="58"/>
    </row>
    <row r="207" spans="1:16" ht="18.75" x14ac:dyDescent="0.25">
      <c r="A207" s="276"/>
      <c r="B207" s="280"/>
      <c r="C207" s="53"/>
      <c r="D207" s="295" t="s">
        <v>83</v>
      </c>
      <c r="E207" s="53"/>
      <c r="F207" s="53"/>
      <c r="G207" s="55"/>
      <c r="H207" s="56" t="s">
        <v>12</v>
      </c>
      <c r="I207" s="57"/>
      <c r="J207" s="57"/>
      <c r="K207" s="58"/>
      <c r="L207" s="61">
        <f ca="1">IFERROR(__xludf.DUMMYFUNCTION("IMPORTRANGE(""https://docs.google.com/spreadsheets/d/1eHaY18a8A9IcSdp1K8H6x8fbOy06t2VsZHhMHf-1x7Y/edit?usp=sharing"",""แผน!AJ53"")"),4000)</f>
        <v>4000</v>
      </c>
      <c r="M207" s="58"/>
      <c r="N207" s="600">
        <v>0</v>
      </c>
      <c r="O207" s="183"/>
      <c r="P207" s="58"/>
    </row>
    <row r="208" spans="1:16" ht="19.5" x14ac:dyDescent="0.3">
      <c r="A208" s="167"/>
      <c r="B208" s="168"/>
      <c r="C208" s="158" t="s">
        <v>16</v>
      </c>
      <c r="D208" s="551" t="s">
        <v>36</v>
      </c>
      <c r="E208" s="170"/>
      <c r="F208" s="170"/>
      <c r="G208" s="171"/>
      <c r="H208" s="172"/>
      <c r="I208" s="164"/>
      <c r="J208" s="164"/>
      <c r="K208" s="165"/>
      <c r="L208" s="165"/>
      <c r="M208" s="165"/>
      <c r="N208" s="165"/>
      <c r="O208" s="165"/>
      <c r="P208" s="165"/>
    </row>
    <row r="209" spans="1:16" ht="18.75" x14ac:dyDescent="0.25">
      <c r="A209" s="167"/>
      <c r="B209" s="168"/>
      <c r="C209" s="168"/>
      <c r="D209" s="449" t="s">
        <v>84</v>
      </c>
      <c r="E209" s="174"/>
      <c r="F209" s="174"/>
      <c r="G209" s="172"/>
      <c r="H209" s="296" t="s">
        <v>79</v>
      </c>
      <c r="I209" s="196">
        <f ca="1">IFERROR(__xludf.DUMMYFUNCTION("IMPORTRANGE(""https://docs.google.com/spreadsheets/d/1eHaY18a8A9IcSdp1K8H6x8fbOy06t2VsZHhMHf-1x7Y/edit?usp=sharing"",""แผน!AK53"")"),1)</f>
        <v>1</v>
      </c>
      <c r="J209" s="558">
        <v>0</v>
      </c>
      <c r="K209" s="183">
        <f ca="1">IF(I209&gt;0,J209*100/I209,0)</f>
        <v>0</v>
      </c>
      <c r="L209" s="58"/>
      <c r="M209" s="58"/>
      <c r="N209" s="58"/>
      <c r="O209" s="58"/>
      <c r="P209" s="58"/>
    </row>
    <row r="210" spans="1:16" ht="18.75" x14ac:dyDescent="0.25">
      <c r="A210" s="167"/>
      <c r="B210" s="168"/>
      <c r="C210" s="168"/>
      <c r="D210" s="195" t="s">
        <v>48</v>
      </c>
      <c r="E210" s="174"/>
      <c r="F210" s="174"/>
      <c r="G210" s="172"/>
      <c r="H210" s="172"/>
      <c r="I210" s="57"/>
      <c r="J210" s="57"/>
      <c r="K210" s="165"/>
      <c r="L210" s="58"/>
      <c r="M210" s="58"/>
      <c r="N210" s="58"/>
      <c r="O210" s="58"/>
      <c r="P210" s="58"/>
    </row>
    <row r="211" spans="1:16" ht="18.75" x14ac:dyDescent="0.25">
      <c r="A211" s="167"/>
      <c r="B211" s="168"/>
      <c r="C211" s="168"/>
      <c r="D211" s="174"/>
      <c r="E211" s="195" t="s">
        <v>85</v>
      </c>
      <c r="F211" s="174"/>
      <c r="G211" s="172"/>
      <c r="H211" s="296" t="s">
        <v>79</v>
      </c>
      <c r="I211" s="196">
        <f ca="1">IFERROR(__xludf.DUMMYFUNCTION("IMPORTRANGE(""https://docs.google.com/spreadsheets/d/1eHaY18a8A9IcSdp1K8H6x8fbOy06t2VsZHhMHf-1x7Y/edit?usp=sharing"",""แผน!JX53"")"),1)</f>
        <v>1</v>
      </c>
      <c r="J211" s="558">
        <v>0</v>
      </c>
      <c r="K211" s="183">
        <f ca="1">IF(I211&gt;0,J211*100/I211,0)</f>
        <v>0</v>
      </c>
      <c r="L211" s="58"/>
      <c r="M211" s="58"/>
      <c r="N211" s="58"/>
      <c r="O211" s="58"/>
      <c r="P211" s="58"/>
    </row>
    <row r="212" spans="1:16" ht="18.75" x14ac:dyDescent="0.25">
      <c r="A212" s="167"/>
      <c r="B212" s="168"/>
      <c r="C212" s="168"/>
      <c r="D212" s="174"/>
      <c r="E212" s="195" t="s">
        <v>86</v>
      </c>
      <c r="F212" s="174"/>
      <c r="G212" s="174"/>
      <c r="H212" s="297" t="s">
        <v>87</v>
      </c>
      <c r="I212" s="196">
        <f ca="1">IFERROR(__xludf.DUMMYFUNCTION("IMPORTRANGE(""https://docs.google.com/spreadsheets/d/1eHaY18a8A9IcSdp1K8H6x8fbOy06t2VsZHhMHf-1x7Y/edit?usp=sharing"",""แผน!JY53"")"),0)</f>
        <v>0</v>
      </c>
      <c r="J212" s="558">
        <v>0</v>
      </c>
      <c r="K212" s="183">
        <f ca="1">IF(I212&gt;0,J212*100/I212,0)</f>
        <v>0</v>
      </c>
      <c r="L212" s="58"/>
      <c r="M212" s="58"/>
      <c r="N212" s="58"/>
      <c r="O212" s="58"/>
      <c r="P212" s="58"/>
    </row>
    <row r="213" spans="1:16" ht="19.5" x14ac:dyDescent="0.3">
      <c r="A213" s="281"/>
      <c r="B213" s="282"/>
      <c r="C213" s="283" t="s">
        <v>88</v>
      </c>
      <c r="D213" s="284"/>
      <c r="E213" s="284"/>
      <c r="F213" s="284"/>
      <c r="G213" s="285"/>
      <c r="H213" s="445" t="s">
        <v>79</v>
      </c>
      <c r="I213" s="287">
        <f ca="1">I220</f>
        <v>3</v>
      </c>
      <c r="J213" s="287">
        <f>J220</f>
        <v>0</v>
      </c>
      <c r="K213" s="288">
        <f ca="1">IF(I213&gt;0,J213*100/I213,0)</f>
        <v>0</v>
      </c>
      <c r="L213" s="289"/>
      <c r="M213" s="289"/>
      <c r="N213" s="289"/>
      <c r="O213" s="289"/>
      <c r="P213" s="289"/>
    </row>
    <row r="214" spans="1:16" ht="19.5" x14ac:dyDescent="0.3">
      <c r="A214" s="157"/>
      <c r="B214" s="53"/>
      <c r="C214" s="158" t="s">
        <v>16</v>
      </c>
      <c r="D214" s="601" t="s">
        <v>17</v>
      </c>
      <c r="E214" s="53"/>
      <c r="F214" s="53"/>
      <c r="G214" s="55"/>
      <c r="H214" s="291" t="s">
        <v>12</v>
      </c>
      <c r="I214" s="164"/>
      <c r="J214" s="164"/>
      <c r="K214" s="165"/>
      <c r="L214" s="161">
        <f ca="1">L215+L216+L217</f>
        <v>42000</v>
      </c>
      <c r="M214" s="58"/>
      <c r="N214" s="161">
        <f>N215+N216+N217</f>
        <v>0</v>
      </c>
      <c r="O214" s="161">
        <f ca="1">IF(L214&gt;0,N214*100/L214,0)</f>
        <v>0</v>
      </c>
      <c r="P214" s="161">
        <f>IF(M214&gt;0,N214*100/M214,0)</f>
        <v>0</v>
      </c>
    </row>
    <row r="215" spans="1:16" ht="18.75" x14ac:dyDescent="0.25">
      <c r="A215" s="157"/>
      <c r="B215" s="280"/>
      <c r="C215" s="53"/>
      <c r="D215" s="336" t="s">
        <v>80</v>
      </c>
      <c r="E215" s="53"/>
      <c r="F215" s="53"/>
      <c r="G215" s="55"/>
      <c r="H215" s="163" t="s">
        <v>12</v>
      </c>
      <c r="I215" s="164"/>
      <c r="J215" s="164"/>
      <c r="K215" s="165"/>
      <c r="L215" s="61">
        <f ca="1">IFERROR(__xludf.DUMMYFUNCTION("IMPORTRANGE(""https://docs.google.com/spreadsheets/d/1eHaY18a8A9IcSdp1K8H6x8fbOy06t2VsZHhMHf-1x7Y/edit?usp=sharing"",""แผน!AM53"")"),3000)</f>
        <v>3000</v>
      </c>
      <c r="M215" s="58"/>
      <c r="N215" s="600">
        <v>0</v>
      </c>
      <c r="O215" s="183"/>
      <c r="P215" s="58"/>
    </row>
    <row r="216" spans="1:16" ht="18.75" x14ac:dyDescent="0.25">
      <c r="A216" s="276"/>
      <c r="B216" s="280"/>
      <c r="C216" s="280"/>
      <c r="D216" s="336" t="s">
        <v>89</v>
      </c>
      <c r="E216" s="53"/>
      <c r="F216" s="53"/>
      <c r="G216" s="55"/>
      <c r="H216" s="163" t="s">
        <v>12</v>
      </c>
      <c r="I216" s="57"/>
      <c r="J216" s="57"/>
      <c r="K216" s="58"/>
      <c r="L216" s="61">
        <f ca="1">IFERROR(__xludf.DUMMYFUNCTION("IMPORTRANGE(""https://docs.google.com/spreadsheets/d/1eHaY18a8A9IcSdp1K8H6x8fbOy06t2VsZHhMHf-1x7Y/edit?usp=sharing"",""แผน!AN53"")"),15000)</f>
        <v>15000</v>
      </c>
      <c r="M216" s="58"/>
      <c r="N216" s="600">
        <v>0</v>
      </c>
      <c r="O216" s="183"/>
      <c r="P216" s="58"/>
    </row>
    <row r="217" spans="1:16" ht="18.75" x14ac:dyDescent="0.25">
      <c r="A217" s="276"/>
      <c r="B217" s="280"/>
      <c r="C217" s="280"/>
      <c r="D217" s="336" t="s">
        <v>82</v>
      </c>
      <c r="E217" s="53"/>
      <c r="F217" s="53"/>
      <c r="G217" s="55"/>
      <c r="H217" s="163" t="s">
        <v>12</v>
      </c>
      <c r="I217" s="57"/>
      <c r="J217" s="57"/>
      <c r="K217" s="58"/>
      <c r="L217" s="61">
        <f ca="1">IFERROR(__xludf.DUMMYFUNCTION("IMPORTRANGE(""https://docs.google.com/spreadsheets/d/1eHaY18a8A9IcSdp1K8H6x8fbOy06t2VsZHhMHf-1x7Y/edit?usp=sharing"",""แผน!AO53"")"),24000)</f>
        <v>24000</v>
      </c>
      <c r="M217" s="58"/>
      <c r="N217" s="600">
        <v>0</v>
      </c>
      <c r="O217" s="183"/>
      <c r="P217" s="58"/>
    </row>
    <row r="218" spans="1:16" ht="19.5" x14ac:dyDescent="0.3">
      <c r="A218" s="167"/>
      <c r="B218" s="168"/>
      <c r="C218" s="298" t="s">
        <v>16</v>
      </c>
      <c r="D218" s="551" t="s">
        <v>36</v>
      </c>
      <c r="E218" s="170"/>
      <c r="F218" s="170"/>
      <c r="G218" s="171"/>
      <c r="H218" s="172"/>
      <c r="I218" s="164"/>
      <c r="J218" s="57"/>
      <c r="K218" s="58"/>
      <c r="L218" s="58"/>
      <c r="M218" s="58"/>
      <c r="N218" s="58"/>
      <c r="O218" s="165"/>
      <c r="P218" s="165"/>
    </row>
    <row r="219" spans="1:16" ht="18.75" x14ac:dyDescent="0.25">
      <c r="A219" s="167"/>
      <c r="B219" s="168"/>
      <c r="C219" s="168"/>
      <c r="D219" s="449" t="s">
        <v>90</v>
      </c>
      <c r="E219" s="174"/>
      <c r="F219" s="174"/>
      <c r="G219" s="172"/>
      <c r="H219" s="296" t="s">
        <v>79</v>
      </c>
      <c r="I219" s="196">
        <f ca="1">IFERROR(__xludf.DUMMYFUNCTION("IMPORTRANGE(""https://docs.google.com/spreadsheets/d/1eHaY18a8A9IcSdp1K8H6x8fbOy06t2VsZHhMHf-1x7Y/edit?usp=sharing"",""แผน!AP53"")"),3)</f>
        <v>3</v>
      </c>
      <c r="J219" s="558">
        <v>0</v>
      </c>
      <c r="K219" s="61">
        <f ca="1">IF(I219&gt;0,J219*100/I219,0)</f>
        <v>0</v>
      </c>
      <c r="L219" s="58"/>
      <c r="M219" s="58"/>
      <c r="N219" s="58"/>
      <c r="O219" s="58"/>
      <c r="P219" s="58"/>
    </row>
    <row r="220" spans="1:16" ht="18.75" x14ac:dyDescent="0.25">
      <c r="A220" s="167"/>
      <c r="B220" s="168"/>
      <c r="C220" s="168"/>
      <c r="D220" s="449" t="s">
        <v>91</v>
      </c>
      <c r="E220" s="174"/>
      <c r="F220" s="174"/>
      <c r="G220" s="172"/>
      <c r="H220" s="296" t="s">
        <v>79</v>
      </c>
      <c r="I220" s="196">
        <f ca="1">IFERROR(__xludf.DUMMYFUNCTION("IMPORTRANGE(""https://docs.google.com/spreadsheets/d/1eHaY18a8A9IcSdp1K8H6x8fbOy06t2VsZHhMHf-1x7Y/edit?usp=sharing"",""แผน!AP53"")"),3)</f>
        <v>3</v>
      </c>
      <c r="J220" s="558">
        <v>0</v>
      </c>
      <c r="K220" s="61">
        <f ca="1">IF(I220&gt;0,J220*100/I220,0)</f>
        <v>0</v>
      </c>
      <c r="L220" s="58"/>
      <c r="M220" s="58"/>
      <c r="N220" s="58"/>
      <c r="O220" s="58"/>
      <c r="P220" s="58"/>
    </row>
    <row r="221" spans="1:16" ht="19.5" x14ac:dyDescent="0.3">
      <c r="A221" s="281"/>
      <c r="B221" s="282"/>
      <c r="C221" s="283" t="s">
        <v>92</v>
      </c>
      <c r="D221" s="284"/>
      <c r="E221" s="284"/>
      <c r="F221" s="284"/>
      <c r="G221" s="285"/>
      <c r="H221" s="286" t="s">
        <v>93</v>
      </c>
      <c r="I221" s="287">
        <f ca="1">I229</f>
        <v>40000</v>
      </c>
      <c r="J221" s="287">
        <f>J229</f>
        <v>0</v>
      </c>
      <c r="K221" s="288">
        <f ca="1">IF(I221&gt;0,J221*100/I221,0)</f>
        <v>0</v>
      </c>
      <c r="L221" s="289"/>
      <c r="M221" s="289"/>
      <c r="N221" s="289"/>
      <c r="O221" s="289"/>
      <c r="P221" s="289"/>
    </row>
    <row r="222" spans="1:16" ht="19.5" x14ac:dyDescent="0.3">
      <c r="A222" s="157"/>
      <c r="B222" s="53"/>
      <c r="C222" s="158" t="s">
        <v>16</v>
      </c>
      <c r="D222" s="601" t="s">
        <v>17</v>
      </c>
      <c r="E222" s="53"/>
      <c r="F222" s="53"/>
      <c r="G222" s="55"/>
      <c r="H222" s="291" t="s">
        <v>12</v>
      </c>
      <c r="I222" s="164"/>
      <c r="J222" s="164"/>
      <c r="K222" s="165"/>
      <c r="L222" s="161">
        <f ca="1">L223+L224+L225</f>
        <v>6500</v>
      </c>
      <c r="M222" s="58"/>
      <c r="N222" s="161">
        <f>N223+N224+N225</f>
        <v>0</v>
      </c>
      <c r="O222" s="161">
        <f ca="1">IF(L222&gt;0,N222*100/L222,0)</f>
        <v>0</v>
      </c>
      <c r="P222" s="161">
        <f>IF(M222&gt;0,N222*100/M222,0)</f>
        <v>0</v>
      </c>
    </row>
    <row r="223" spans="1:16" ht="18.75" x14ac:dyDescent="0.25">
      <c r="A223" s="157"/>
      <c r="B223" s="280"/>
      <c r="C223" s="53"/>
      <c r="D223" s="336" t="s">
        <v>155</v>
      </c>
      <c r="E223" s="53"/>
      <c r="F223" s="53"/>
      <c r="G223" s="55"/>
      <c r="H223" s="163" t="s">
        <v>12</v>
      </c>
      <c r="I223" s="164"/>
      <c r="J223" s="164"/>
      <c r="K223" s="165"/>
      <c r="L223" s="61">
        <f ca="1">IFERROR(__xludf.DUMMYFUNCTION("IMPORTRANGE(""https://docs.google.com/spreadsheets/d/1eHaY18a8A9IcSdp1K8H6x8fbOy06t2VsZHhMHf-1x7Y/edit?usp=sharing"",""แผน!AR53"")"),5000)</f>
        <v>5000</v>
      </c>
      <c r="M223" s="58"/>
      <c r="N223" s="600">
        <v>0</v>
      </c>
      <c r="O223" s="183"/>
      <c r="P223" s="58"/>
    </row>
    <row r="224" spans="1:16" ht="18.75" x14ac:dyDescent="0.25">
      <c r="A224" s="276"/>
      <c r="B224" s="280"/>
      <c r="C224" s="280"/>
      <c r="D224" s="336" t="s">
        <v>154</v>
      </c>
      <c r="E224" s="53"/>
      <c r="F224" s="53"/>
      <c r="G224" s="55"/>
      <c r="H224" s="163" t="s">
        <v>12</v>
      </c>
      <c r="I224" s="57"/>
      <c r="J224" s="57"/>
      <c r="K224" s="58"/>
      <c r="L224" s="61">
        <f ca="1">IFERROR(__xludf.DUMMYFUNCTION("IMPORTRANGE(""https://docs.google.com/spreadsheets/d/1eHaY18a8A9IcSdp1K8H6x8fbOy06t2VsZHhMHf-1x7Y/edit?usp=sharing"",""แผน!AS53"")"),1500)</f>
        <v>1500</v>
      </c>
      <c r="M224" s="58"/>
      <c r="N224" s="600">
        <v>0</v>
      </c>
      <c r="O224" s="183"/>
      <c r="P224" s="58"/>
    </row>
    <row r="225" spans="1:16" ht="18.75" x14ac:dyDescent="0.25">
      <c r="A225" s="276"/>
      <c r="B225" s="280"/>
      <c r="C225" s="280"/>
      <c r="D225" s="336" t="s">
        <v>82</v>
      </c>
      <c r="E225" s="53"/>
      <c r="F225" s="53"/>
      <c r="G225" s="55"/>
      <c r="H225" s="163" t="s">
        <v>12</v>
      </c>
      <c r="I225" s="57"/>
      <c r="J225" s="57"/>
      <c r="K225" s="58"/>
      <c r="L225" s="61">
        <f ca="1">IFERROR(__xludf.DUMMYFUNCTION("IMPORTRANGE(""https://docs.google.com/spreadsheets/d/1eHaY18a8A9IcSdp1K8H6x8fbOy06t2VsZHhMHf-1x7Y/edit?usp=sharing"",""แผน!AT53"")"),0)</f>
        <v>0</v>
      </c>
      <c r="M225" s="58"/>
      <c r="N225" s="600">
        <v>0</v>
      </c>
      <c r="O225" s="183"/>
      <c r="P225" s="58"/>
    </row>
    <row r="226" spans="1:16" ht="19.5" x14ac:dyDescent="0.3">
      <c r="A226" s="167"/>
      <c r="B226" s="168"/>
      <c r="C226" s="298" t="s">
        <v>16</v>
      </c>
      <c r="D226" s="551" t="s">
        <v>36</v>
      </c>
      <c r="E226" s="170"/>
      <c r="F226" s="170"/>
      <c r="G226" s="171"/>
      <c r="H226" s="172"/>
      <c r="I226" s="164"/>
      <c r="J226" s="164"/>
      <c r="K226" s="165"/>
      <c r="L226" s="165"/>
      <c r="M226" s="165"/>
      <c r="N226" s="165"/>
      <c r="O226" s="165"/>
      <c r="P226" s="165"/>
    </row>
    <row r="227" spans="1:16" ht="18.75" x14ac:dyDescent="0.25">
      <c r="A227" s="167"/>
      <c r="B227" s="168"/>
      <c r="C227" s="168"/>
      <c r="D227" s="336" t="s">
        <v>95</v>
      </c>
      <c r="E227" s="174"/>
      <c r="F227" s="174"/>
      <c r="G227" s="172"/>
      <c r="H227" s="172"/>
      <c r="I227" s="57"/>
      <c r="J227" s="57"/>
      <c r="K227" s="165"/>
      <c r="L227" s="165"/>
      <c r="M227" s="165"/>
      <c r="N227" s="165"/>
      <c r="O227" s="165"/>
      <c r="P227" s="165"/>
    </row>
    <row r="228" spans="1:16" ht="18.75" x14ac:dyDescent="0.25">
      <c r="A228" s="167"/>
      <c r="B228" s="168"/>
      <c r="C228" s="168"/>
      <c r="D228" s="168"/>
      <c r="E228" s="449" t="s">
        <v>96</v>
      </c>
      <c r="F228" s="174"/>
      <c r="G228" s="172"/>
      <c r="H228" s="297" t="s">
        <v>93</v>
      </c>
      <c r="I228" s="196">
        <f ca="1">IFERROR(__xludf.DUMMYFUNCTION("IMPORTRANGE(""https://docs.google.com/spreadsheets/d/1eHaY18a8A9IcSdp1K8H6x8fbOy06t2VsZHhMHf-1x7Y/edit?usp=sharing"",""แผน!AV53"")"),40000)</f>
        <v>40000</v>
      </c>
      <c r="J228" s="558">
        <v>40000</v>
      </c>
      <c r="K228" s="183">
        <f ca="1">IF(I228&gt;0,J228*100/I228,0)</f>
        <v>100</v>
      </c>
      <c r="L228" s="165"/>
      <c r="M228" s="165"/>
      <c r="N228" s="165"/>
      <c r="O228" s="165"/>
      <c r="P228" s="165"/>
    </row>
    <row r="229" spans="1:16" ht="18.75" x14ac:dyDescent="0.25">
      <c r="A229" s="167"/>
      <c r="B229" s="168"/>
      <c r="C229" s="168"/>
      <c r="D229" s="168"/>
      <c r="E229" s="449" t="s">
        <v>97</v>
      </c>
      <c r="F229" s="174"/>
      <c r="G229" s="172"/>
      <c r="H229" s="297" t="s">
        <v>93</v>
      </c>
      <c r="I229" s="196">
        <f ca="1">IFERROR(__xludf.DUMMYFUNCTION("IMPORTRANGE(""https://docs.google.com/spreadsheets/d/1eHaY18a8A9IcSdp1K8H6x8fbOy06t2VsZHhMHf-1x7Y/edit?usp=sharing"",""แผน!AV53"")"),40000)</f>
        <v>40000</v>
      </c>
      <c r="J229" s="558">
        <v>0</v>
      </c>
      <c r="K229" s="183">
        <f ca="1">IF(I229&gt;0,J229*100/I229,0)</f>
        <v>0</v>
      </c>
      <c r="L229" s="58"/>
      <c r="M229" s="58"/>
      <c r="N229" s="58"/>
      <c r="O229" s="58"/>
      <c r="P229" s="58"/>
    </row>
    <row r="230" spans="1:16" ht="18.75" x14ac:dyDescent="0.25">
      <c r="A230" s="167"/>
      <c r="B230" s="168"/>
      <c r="C230" s="168"/>
      <c r="D230" s="336" t="s">
        <v>98</v>
      </c>
      <c r="E230" s="174"/>
      <c r="F230" s="174"/>
      <c r="G230" s="172"/>
      <c r="H230" s="297" t="s">
        <v>33</v>
      </c>
      <c r="I230" s="196">
        <f ca="1">IFERROR(__xludf.DUMMYFUNCTION("IMPORTRANGE(""https://docs.google.com/spreadsheets/d/1eHaY18a8A9IcSdp1K8H6x8fbOy06t2VsZHhMHf-1x7Y/edit?usp=sharing"",""แผน!AU53"")"),0)</f>
        <v>0</v>
      </c>
      <c r="J230" s="558">
        <v>0</v>
      </c>
      <c r="K230" s="183">
        <f ca="1">IF(I230&gt;0,J230*100/I230,0)</f>
        <v>0</v>
      </c>
      <c r="L230" s="58"/>
      <c r="M230" s="58"/>
      <c r="N230" s="58"/>
      <c r="O230" s="58"/>
      <c r="P230" s="58"/>
    </row>
    <row r="231" spans="1:16" ht="19.5" hidden="1" x14ac:dyDescent="0.3">
      <c r="A231" s="599"/>
      <c r="B231" s="598"/>
      <c r="C231" s="597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30</v>
      </c>
      <c r="J231" s="593">
        <f>J242+J253</f>
        <v>30</v>
      </c>
      <c r="K231" s="592">
        <f ca="1">IF(I231&gt;0,J231*100/I231,0)</f>
        <v>100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6"/>
      <c r="C232" s="51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131600</v>
      </c>
      <c r="M232" s="501"/>
      <c r="N232" s="525">
        <f>N243+N254</f>
        <v>95965</v>
      </c>
      <c r="O232" s="501"/>
      <c r="P232" s="501"/>
    </row>
    <row r="233" spans="1:16" ht="18.75" hidden="1" x14ac:dyDescent="0.25">
      <c r="A233" s="521"/>
      <c r="B233" s="509"/>
      <c r="C233" s="506"/>
      <c r="D233" s="29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4365</v>
      </c>
      <c r="O233" s="501"/>
      <c r="P233" s="501"/>
    </row>
    <row r="234" spans="1:16" ht="18.75" hidden="1" x14ac:dyDescent="0.25">
      <c r="A234" s="510"/>
      <c r="B234" s="509"/>
      <c r="C234" s="509"/>
      <c r="D234" s="295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295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55600</v>
      </c>
      <c r="M235" s="501"/>
      <c r="N235" s="502">
        <f>N246+N257</f>
        <v>55600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66000</v>
      </c>
      <c r="M236" s="501"/>
      <c r="N236" s="502">
        <f>N247+N258</f>
        <v>36000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513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83" t="s">
        <v>33</v>
      </c>
      <c r="I238" s="201">
        <f ca="1">I249+I260</f>
        <v>30</v>
      </c>
      <c r="J238" s="201">
        <f>J249+J260</f>
        <v>30</v>
      </c>
      <c r="K238" s="502">
        <f ca="1">IF(I238&gt;0,J238*100/I238,0)</f>
        <v>100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513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83" t="s">
        <v>33</v>
      </c>
      <c r="I240" s="201">
        <f ca="1">I251+I262</f>
        <v>30</v>
      </c>
      <c r="J240" s="201">
        <f>J251+J262</f>
        <v>30</v>
      </c>
      <c r="K240" s="502">
        <f ca="1">IF(I240&gt;0,J240*100/I240,0)</f>
        <v>100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83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283" t="s">
        <v>153</v>
      </c>
      <c r="D242" s="284"/>
      <c r="E242" s="284"/>
      <c r="F242" s="284"/>
      <c r="G242" s="285"/>
      <c r="H242" s="286" t="s">
        <v>33</v>
      </c>
      <c r="I242" s="287">
        <f ca="1">I249</f>
        <v>30</v>
      </c>
      <c r="J242" s="287">
        <f>J249</f>
        <v>30</v>
      </c>
      <c r="K242" s="288">
        <f ca="1">IF(I242&gt;0,J242*100/I242,0)</f>
        <v>100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131600</v>
      </c>
      <c r="M243" s="58"/>
      <c r="N243" s="161">
        <f>N244+N245+N246+N247</f>
        <v>95965</v>
      </c>
      <c r="O243" s="161">
        <f ca="1">IF(L243&gt;0,N243*100/L243,0)</f>
        <v>72.921732522796347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29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IFERROR(__xludf.DUMMYFUNCTION("IMPORTRANGE(""https://docs.google.com/spreadsheets/d/1eHaY18a8A9IcSdp1K8H6x8fbOy06t2VsZHhMHf-1x7Y/edit?usp=sharing"",""แผน!AX53"")"),8000)</f>
        <v>8000</v>
      </c>
      <c r="M244" s="58"/>
      <c r="N244" s="600">
        <v>4365</v>
      </c>
      <c r="O244" s="58"/>
      <c r="P244" s="58"/>
    </row>
    <row r="245" spans="1:16" ht="18.75" x14ac:dyDescent="0.25">
      <c r="A245" s="276"/>
      <c r="B245" s="280"/>
      <c r="C245" s="280"/>
      <c r="D245" s="295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IFERROR(__xludf.DUMMYFUNCTION("IMPORTRANGE(""https://docs.google.com/spreadsheets/d/1eHaY18a8A9IcSdp1K8H6x8fbOy06t2VsZHhMHf-1x7Y/edit?usp=sharing"",""แผน!AY53"")"),2000)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295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IFERROR(__xludf.DUMMYFUNCTION("IMPORTRANGE(""https://docs.google.com/spreadsheets/d/1eHaY18a8A9IcSdp1K8H6x8fbOy06t2VsZHhMHf-1x7Y/edit?usp=sharing"",""แผน!AZ53"")"),55600)</f>
        <v>55600</v>
      </c>
      <c r="M246" s="58"/>
      <c r="N246" s="600">
        <v>55600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IFERROR(__xludf.DUMMYFUNCTION("IMPORTRANGE(""https://docs.google.com/spreadsheets/d/1eHaY18a8A9IcSdp1K8H6x8fbOy06t2VsZHhMHf-1x7Y/edit?usp=sharing"",""แผน!BA53"")"),66000)</f>
        <v>66000</v>
      </c>
      <c r="M247" s="58"/>
      <c r="N247" s="600">
        <v>36000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IFERROR(__xludf.DUMMYFUNCTION("IMPORTRANGE(""https://docs.google.com/spreadsheets/d/1eHaY18a8A9IcSdp1K8H6x8fbOy06t2VsZHhMHf-1x7Y/edit?usp=sharing"",""แผน!BG53"")"),30)</f>
        <v>30</v>
      </c>
      <c r="J249" s="558">
        <v>30</v>
      </c>
      <c r="K249" s="61">
        <f ca="1">IF(I249&gt;0,J249*100/I249,0)</f>
        <v>100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IFERROR(__xludf.DUMMYFUNCTION("IMPORTRANGE(""https://docs.google.com/spreadsheets/d/1eHaY18a8A9IcSdp1K8H6x8fbOy06t2VsZHhMHf-1x7Y/edit?usp=sharing"",""แผน!JZ53"")"),30)</f>
        <v>30</v>
      </c>
      <c r="J251" s="558">
        <v>30</v>
      </c>
      <c r="K251" s="61">
        <f ca="1">IF(I251&gt;0,J251*100/I251,0)</f>
        <v>100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IFERROR(__xludf.DUMMYFUNCTION("IMPORTRANGE(""https://docs.google.com/spreadsheets/d/1eHaY18a8A9IcSdp1K8H6x8fbOy06t2VsZHhMHf-1x7Y/edit?usp=sharing"",""แผน!KA53"")"),1)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599"/>
      <c r="B253" s="598"/>
      <c r="C253" s="597" t="s">
        <v>106</v>
      </c>
      <c r="D253" s="596"/>
      <c r="E253" s="596"/>
      <c r="F253" s="596"/>
      <c r="G253" s="595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91"/>
      <c r="M253" s="591"/>
      <c r="N253" s="591"/>
      <c r="O253" s="591"/>
      <c r="P253" s="591"/>
    </row>
    <row r="254" spans="1:16" ht="19.5" hidden="1" x14ac:dyDescent="0.3">
      <c r="A254" s="521"/>
      <c r="B254" s="506"/>
      <c r="C254" s="517" t="s">
        <v>16</v>
      </c>
      <c r="D254" s="590" t="s">
        <v>17</v>
      </c>
      <c r="E254" s="506"/>
      <c r="F254" s="506"/>
      <c r="G254" s="505"/>
      <c r="H254" s="589" t="s">
        <v>12</v>
      </c>
      <c r="I254" s="512"/>
      <c r="J254" s="512"/>
      <c r="K254" s="511"/>
      <c r="L254" s="525">
        <f ca="1">L255+L256+L257+L258</f>
        <v>0</v>
      </c>
      <c r="M254" s="501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521"/>
      <c r="B255" s="509"/>
      <c r="C255" s="506"/>
      <c r="D255" s="294" t="s">
        <v>152</v>
      </c>
      <c r="E255" s="506"/>
      <c r="F255" s="506"/>
      <c r="G255" s="505"/>
      <c r="H255" s="522" t="s">
        <v>12</v>
      </c>
      <c r="I255" s="512"/>
      <c r="J255" s="512"/>
      <c r="K255" s="511"/>
      <c r="L255" s="502">
        <f ca="1">IFERROR(__xludf.DUMMYFUNCTION("IMPORTRANGE(""https://docs.google.com/spreadsheets/d/1eHaY18a8A9IcSdp1K8H6x8fbOy06t2VsZHhMHf-1x7Y/edit?usp=sharing"",""แผน!BB53"")"),0)</f>
        <v>0</v>
      </c>
      <c r="M255" s="501"/>
      <c r="N255" s="588">
        <v>0</v>
      </c>
      <c r="O255" s="501"/>
      <c r="P255" s="501"/>
    </row>
    <row r="256" spans="1:16" ht="18.75" hidden="1" x14ac:dyDescent="0.25">
      <c r="A256" s="510"/>
      <c r="B256" s="509"/>
      <c r="C256" s="509"/>
      <c r="D256" s="295" t="s">
        <v>81</v>
      </c>
      <c r="E256" s="506"/>
      <c r="F256" s="506"/>
      <c r="G256" s="505"/>
      <c r="H256" s="522" t="s">
        <v>12</v>
      </c>
      <c r="I256" s="199"/>
      <c r="J256" s="199"/>
      <c r="K256" s="501"/>
      <c r="L256" s="502">
        <f ca="1">IFERROR(__xludf.DUMMYFUNCTION("IMPORTRANGE(""https://docs.google.com/spreadsheets/d/1eHaY18a8A9IcSdp1K8H6x8fbOy06t2VsZHhMHf-1x7Y/edit?usp=sharing"",""แผน!BC53"")"),0)</f>
        <v>0</v>
      </c>
      <c r="M256" s="501"/>
      <c r="N256" s="588">
        <v>0</v>
      </c>
      <c r="O256" s="501"/>
      <c r="P256" s="501"/>
    </row>
    <row r="257" spans="1:16" ht="18.75" hidden="1" x14ac:dyDescent="0.25">
      <c r="A257" s="510"/>
      <c r="B257" s="509"/>
      <c r="C257" s="509"/>
      <c r="D257" s="295" t="s">
        <v>82</v>
      </c>
      <c r="E257" s="506"/>
      <c r="F257" s="506"/>
      <c r="G257" s="505"/>
      <c r="H257" s="522" t="s">
        <v>12</v>
      </c>
      <c r="I257" s="199"/>
      <c r="J257" s="199"/>
      <c r="K257" s="501"/>
      <c r="L257" s="502">
        <f ca="1">IFERROR(__xludf.DUMMYFUNCTION("IMPORTRANGE(""https://docs.google.com/spreadsheets/d/1eHaY18a8A9IcSdp1K8H6x8fbOy06t2VsZHhMHf-1x7Y/edit?usp=sharing"",""แผน!BD53"")"),0)</f>
        <v>0</v>
      </c>
      <c r="M257" s="501"/>
      <c r="N257" s="588">
        <v>0</v>
      </c>
      <c r="O257" s="501"/>
      <c r="P257" s="501"/>
    </row>
    <row r="258" spans="1:16" ht="18.75" hidden="1" x14ac:dyDescent="0.25">
      <c r="A258" s="510"/>
      <c r="B258" s="509"/>
      <c r="C258" s="509"/>
      <c r="D258" s="295" t="s">
        <v>83</v>
      </c>
      <c r="E258" s="506"/>
      <c r="F258" s="506"/>
      <c r="G258" s="505"/>
      <c r="H258" s="522" t="s">
        <v>12</v>
      </c>
      <c r="I258" s="199"/>
      <c r="J258" s="199"/>
      <c r="K258" s="501"/>
      <c r="L258" s="502">
        <f ca="1">IFERROR(__xludf.DUMMYFUNCTION("IMPORTRANGE(""https://docs.google.com/spreadsheets/d/1eHaY18a8A9IcSdp1K8H6x8fbOy06t2VsZHhMHf-1x7Y/edit?usp=sharing"",""แผน!BE53"")"),0)</f>
        <v>0</v>
      </c>
      <c r="M258" s="501"/>
      <c r="N258" s="588">
        <v>0</v>
      </c>
      <c r="O258" s="501"/>
      <c r="P258" s="501"/>
    </row>
    <row r="259" spans="1:16" ht="19.5" hidden="1" x14ac:dyDescent="0.3">
      <c r="A259" s="518"/>
      <c r="B259" s="507"/>
      <c r="C259" s="587" t="s">
        <v>16</v>
      </c>
      <c r="D259" s="516" t="s">
        <v>36</v>
      </c>
      <c r="E259" s="515"/>
      <c r="F259" s="515"/>
      <c r="G259" s="514"/>
      <c r="H259" s="513"/>
      <c r="I259" s="512"/>
      <c r="J259" s="199"/>
      <c r="K259" s="501"/>
      <c r="L259" s="501"/>
      <c r="M259" s="501"/>
      <c r="N259" s="501"/>
      <c r="O259" s="511"/>
      <c r="P259" s="511"/>
    </row>
    <row r="260" spans="1:16" ht="18.75" hidden="1" x14ac:dyDescent="0.25">
      <c r="A260" s="518"/>
      <c r="B260" s="507"/>
      <c r="C260" s="507"/>
      <c r="D260" s="508" t="s">
        <v>102</v>
      </c>
      <c r="E260" s="584"/>
      <c r="F260" s="584"/>
      <c r="G260" s="513"/>
      <c r="H260" s="583" t="s">
        <v>33</v>
      </c>
      <c r="I260" s="201">
        <f ca="1">IFERROR(__xludf.DUMMYFUNCTION("IMPORTRANGE(""https://docs.google.com/spreadsheets/d/1eHaY18a8A9IcSdp1K8H6x8fbOy06t2VsZHhMHf-1x7Y/edit?usp=sharing"",""แผน!BH53"")"),0)</f>
        <v>0</v>
      </c>
      <c r="J260" s="503">
        <v>0</v>
      </c>
      <c r="K260" s="502">
        <f ca="1">IF(I260&gt;0,J260*100/I260,0)</f>
        <v>0</v>
      </c>
      <c r="L260" s="501"/>
      <c r="M260" s="501"/>
      <c r="N260" s="501"/>
      <c r="O260" s="501"/>
      <c r="P260" s="501"/>
    </row>
    <row r="261" spans="1:16" ht="18.75" hidden="1" x14ac:dyDescent="0.25">
      <c r="A261" s="518"/>
      <c r="B261" s="507"/>
      <c r="C261" s="507"/>
      <c r="D261" s="586" t="s">
        <v>41</v>
      </c>
      <c r="E261" s="584"/>
      <c r="F261" s="584"/>
      <c r="G261" s="513"/>
      <c r="H261" s="513"/>
      <c r="I261" s="199"/>
      <c r="J261" s="199"/>
      <c r="K261" s="501"/>
      <c r="L261" s="501"/>
      <c r="M261" s="501"/>
      <c r="N261" s="501"/>
      <c r="O261" s="511"/>
      <c r="P261" s="511"/>
    </row>
    <row r="262" spans="1:16" ht="18.75" hidden="1" x14ac:dyDescent="0.25">
      <c r="A262" s="518"/>
      <c r="B262" s="507"/>
      <c r="C262" s="507"/>
      <c r="D262" s="507"/>
      <c r="E262" s="585" t="s">
        <v>103</v>
      </c>
      <c r="F262" s="584"/>
      <c r="G262" s="513"/>
      <c r="H262" s="583" t="s">
        <v>33</v>
      </c>
      <c r="I262" s="199"/>
      <c r="J262" s="503">
        <v>0</v>
      </c>
      <c r="K262" s="502">
        <f>IF(I262&gt;0,J262*100/I262,0)</f>
        <v>0</v>
      </c>
      <c r="L262" s="501"/>
      <c r="M262" s="501"/>
      <c r="N262" s="501"/>
      <c r="O262" s="501"/>
      <c r="P262" s="501"/>
    </row>
    <row r="263" spans="1:16" ht="18.75" hidden="1" x14ac:dyDescent="0.25">
      <c r="A263" s="518"/>
      <c r="B263" s="507"/>
      <c r="C263" s="507"/>
      <c r="D263" s="507"/>
      <c r="E263" s="585" t="s">
        <v>104</v>
      </c>
      <c r="F263" s="584"/>
      <c r="G263" s="513"/>
      <c r="H263" s="583" t="s">
        <v>54</v>
      </c>
      <c r="I263" s="199"/>
      <c r="J263" s="503">
        <v>0</v>
      </c>
      <c r="K263" s="502">
        <f>IF(I263&gt;0,J263*100/I263,0)</f>
        <v>0</v>
      </c>
      <c r="L263" s="501"/>
      <c r="M263" s="501"/>
      <c r="N263" s="501"/>
      <c r="O263" s="501"/>
      <c r="P263" s="501"/>
    </row>
    <row r="264" spans="1:16" ht="19.5" hidden="1" x14ac:dyDescent="0.3">
      <c r="A264" s="582" t="s">
        <v>107</v>
      </c>
      <c r="B264" s="581"/>
      <c r="C264" s="581"/>
      <c r="D264" s="580"/>
      <c r="E264" s="580"/>
      <c r="F264" s="580"/>
      <c r="G264" s="579"/>
      <c r="H264" s="579"/>
      <c r="I264" s="578"/>
      <c r="J264" s="578"/>
      <c r="K264" s="577"/>
      <c r="L264" s="577"/>
      <c r="M264" s="577"/>
      <c r="N264" s="577"/>
      <c r="O264" s="577"/>
      <c r="P264" s="577"/>
    </row>
    <row r="265" spans="1:16" ht="19.5" hidden="1" x14ac:dyDescent="0.3">
      <c r="A265" s="576"/>
      <c r="B265" s="575" t="s">
        <v>108</v>
      </c>
      <c r="C265" s="574"/>
      <c r="D265" s="515"/>
      <c r="E265" s="515"/>
      <c r="F265" s="515"/>
      <c r="G265" s="514"/>
      <c r="H265" s="573" t="s">
        <v>33</v>
      </c>
      <c r="I265" s="572">
        <f>I276</f>
        <v>0</v>
      </c>
      <c r="J265" s="572">
        <f>J276</f>
        <v>0</v>
      </c>
      <c r="K265" s="571">
        <f>IF(I265&gt;0,J265*100/I265,0)</f>
        <v>0</v>
      </c>
      <c r="L265" s="570"/>
      <c r="M265" s="570"/>
      <c r="N265" s="570"/>
      <c r="O265" s="570"/>
      <c r="P265" s="570"/>
    </row>
    <row r="266" spans="1:16" ht="19.5" hidden="1" x14ac:dyDescent="0.3">
      <c r="A266" s="521"/>
      <c r="B266" s="506"/>
      <c r="C266" s="517" t="s">
        <v>16</v>
      </c>
      <c r="D266" s="527" t="s">
        <v>17</v>
      </c>
      <c r="E266" s="506"/>
      <c r="F266" s="506"/>
      <c r="G266" s="505"/>
      <c r="H266" s="526" t="s">
        <v>12</v>
      </c>
      <c r="I266" s="199"/>
      <c r="J266" s="199"/>
      <c r="K266" s="501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521"/>
      <c r="B267" s="506"/>
      <c r="C267" s="506"/>
      <c r="D267" s="506"/>
      <c r="E267" s="520" t="s">
        <v>18</v>
      </c>
      <c r="F267" s="506"/>
      <c r="G267" s="505"/>
      <c r="H267" s="524" t="s">
        <v>12</v>
      </c>
      <c r="I267" s="199"/>
      <c r="J267" s="199"/>
      <c r="K267" s="501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521"/>
      <c r="B268" s="506"/>
      <c r="C268" s="506"/>
      <c r="D268" s="506"/>
      <c r="E268" s="520" t="s">
        <v>19</v>
      </c>
      <c r="F268" s="506"/>
      <c r="G268" s="505"/>
      <c r="H268" s="524" t="s">
        <v>12</v>
      </c>
      <c r="I268" s="199"/>
      <c r="J268" s="199"/>
      <c r="K268" s="501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521"/>
      <c r="B269" s="506"/>
      <c r="C269" s="506"/>
      <c r="D269" s="523" t="s">
        <v>20</v>
      </c>
      <c r="E269" s="506"/>
      <c r="F269" s="506"/>
      <c r="G269" s="505"/>
      <c r="H269" s="522" t="s">
        <v>12</v>
      </c>
      <c r="I269" s="512"/>
      <c r="J269" s="512"/>
      <c r="K269" s="511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521"/>
      <c r="B270" s="506"/>
      <c r="C270" s="506"/>
      <c r="D270" s="506"/>
      <c r="E270" s="520" t="s">
        <v>34</v>
      </c>
      <c r="F270" s="506"/>
      <c r="G270" s="505"/>
      <c r="H270" s="522" t="s">
        <v>12</v>
      </c>
      <c r="I270" s="512"/>
      <c r="J270" s="512"/>
      <c r="K270" s="511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521"/>
      <c r="B271" s="506"/>
      <c r="C271" s="506"/>
      <c r="D271" s="506"/>
      <c r="E271" s="520" t="s">
        <v>35</v>
      </c>
      <c r="F271" s="506"/>
      <c r="G271" s="505"/>
      <c r="H271" s="522" t="s">
        <v>12</v>
      </c>
      <c r="I271" s="512"/>
      <c r="J271" s="512"/>
      <c r="K271" s="511"/>
      <c r="L271" s="502">
        <f ca="1">IFERROR(__xludf.DUMMYFUNCTION("IMPORTRANGE(""https://docs.google.com/spreadsheets/d/1-uDff_7J0KD5mKrp0Vvzr7lt3OU09vwQwhkpOPPYv2Y/edit?usp=sharing"",""งบพรบ!DE53"")"),0)</f>
        <v>0</v>
      </c>
      <c r="M271" s="502">
        <f ca="1">IFERROR(__xludf.DUMMYFUNCTION("IMPORTRANGE(""https://docs.google.com/spreadsheets/d/1-uDff_7J0KD5mKrp0Vvzr7lt3OU09vwQwhkpOPPYv2Y/edit?usp=sharing"",""งบพรบ!DJ53"")"),0)</f>
        <v>0</v>
      </c>
      <c r="N271" s="502">
        <f ca="1">IFERROR(__xludf.DUMMYFUNCTION("IMPORTRANGE(""https://docs.google.com/spreadsheets/d/1-uDff_7J0KD5mKrp0Vvzr7lt3OU09vwQwhkpOPPYv2Y/edit?usp=sharing"",""งบพรบ!DL53"")"),0)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521"/>
      <c r="B272" s="506"/>
      <c r="C272" s="506"/>
      <c r="D272" s="523" t="s">
        <v>21</v>
      </c>
      <c r="E272" s="506"/>
      <c r="F272" s="506"/>
      <c r="G272" s="505"/>
      <c r="H272" s="519" t="s">
        <v>12</v>
      </c>
      <c r="I272" s="512"/>
      <c r="J272" s="512"/>
      <c r="K272" s="511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521"/>
      <c r="B273" s="506"/>
      <c r="C273" s="506"/>
      <c r="D273" s="506"/>
      <c r="E273" s="520" t="s">
        <v>18</v>
      </c>
      <c r="F273" s="506"/>
      <c r="G273" s="505"/>
      <c r="H273" s="522" t="s">
        <v>12</v>
      </c>
      <c r="I273" s="512"/>
      <c r="J273" s="512"/>
      <c r="K273" s="511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521"/>
      <c r="B274" s="506"/>
      <c r="C274" s="506"/>
      <c r="D274" s="506"/>
      <c r="E274" s="520" t="s">
        <v>19</v>
      </c>
      <c r="F274" s="506"/>
      <c r="G274" s="505"/>
      <c r="H274" s="519" t="s">
        <v>12</v>
      </c>
      <c r="I274" s="512"/>
      <c r="J274" s="512"/>
      <c r="K274" s="511"/>
      <c r="L274" s="502">
        <f ca="1">IFERROR(__xludf.DUMMYFUNCTION("IMPORTRANGE(""https://docs.google.com/spreadsheets/d/1-uDff_7J0KD5mKrp0Vvzr7lt3OU09vwQwhkpOPPYv2Y/edit?usp=sharing"",""งบพรบ!DH53"")"),0)</f>
        <v>0</v>
      </c>
      <c r="M274" s="502">
        <f ca="1">IFERROR(__xludf.DUMMYFUNCTION("IMPORTRANGE(""https://docs.google.com/spreadsheets/d/1-uDff_7J0KD5mKrp0Vvzr7lt3OU09vwQwhkpOPPYv2Y/edit?usp=sharing"",""งบพรบ!DK53"")"),0)</f>
        <v>0</v>
      </c>
      <c r="N274" s="502">
        <f ca="1">IFERROR(__xludf.DUMMYFUNCTION("IMPORTRANGE(""https://docs.google.com/spreadsheets/d/1-uDff_7J0KD5mKrp0Vvzr7lt3OU09vwQwhkpOPPYv2Y/edit?usp=sharing"",""งบพรบ!DM53"")"),0)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518"/>
      <c r="B275" s="507"/>
      <c r="C275" s="520" t="s">
        <v>16</v>
      </c>
      <c r="D275" s="516" t="s">
        <v>36</v>
      </c>
      <c r="E275" s="515"/>
      <c r="F275" s="515"/>
      <c r="G275" s="514"/>
      <c r="H275" s="513"/>
      <c r="I275" s="512"/>
      <c r="J275" s="512"/>
      <c r="K275" s="511"/>
      <c r="L275" s="511"/>
      <c r="M275" s="511"/>
      <c r="N275" s="511"/>
      <c r="O275" s="511"/>
      <c r="P275" s="511"/>
    </row>
    <row r="276" spans="1:16" ht="18.75" hidden="1" x14ac:dyDescent="0.25">
      <c r="A276" s="186"/>
      <c r="B276" s="187"/>
      <c r="C276" s="187"/>
      <c r="D276" s="202"/>
      <c r="E276" s="189"/>
      <c r="F276" s="189"/>
      <c r="G276" s="190"/>
      <c r="H276" s="191"/>
      <c r="I276" s="192"/>
      <c r="J276" s="192"/>
      <c r="K276" s="193"/>
      <c r="L276" s="200"/>
      <c r="M276" s="200"/>
      <c r="N276" s="200"/>
      <c r="O276" s="200"/>
      <c r="P276" s="200"/>
    </row>
    <row r="277" spans="1:16" ht="18.75" hidden="1" x14ac:dyDescent="0.25">
      <c r="A277" s="569"/>
      <c r="B277" s="568"/>
      <c r="C277" s="568"/>
      <c r="D277" s="567" t="s">
        <v>109</v>
      </c>
      <c r="E277" s="566"/>
      <c r="F277" s="566"/>
      <c r="G277" s="565"/>
      <c r="H277" s="564" t="s">
        <v>33</v>
      </c>
      <c r="I277" s="563">
        <v>0</v>
      </c>
      <c r="J277" s="563">
        <v>0</v>
      </c>
      <c r="K277" s="562">
        <v>0</v>
      </c>
      <c r="L277" s="561"/>
      <c r="M277" s="561"/>
      <c r="N277" s="561"/>
      <c r="O277" s="561"/>
      <c r="P277" s="561"/>
    </row>
    <row r="278" spans="1:16" ht="19.5" hidden="1" x14ac:dyDescent="0.3">
      <c r="A278" s="348" t="s">
        <v>110</v>
      </c>
      <c r="B278" s="349"/>
      <c r="C278" s="349"/>
      <c r="D278" s="349"/>
      <c r="E278" s="350"/>
      <c r="F278" s="350"/>
      <c r="G278" s="350"/>
      <c r="H278" s="350"/>
      <c r="I278" s="351"/>
      <c r="J278" s="351"/>
      <c r="K278" s="352"/>
      <c r="L278" s="352"/>
      <c r="M278" s="352"/>
      <c r="N278" s="352"/>
      <c r="O278" s="352"/>
      <c r="P278" s="560"/>
    </row>
    <row r="279" spans="1:16" ht="19.5" hidden="1" x14ac:dyDescent="0.3">
      <c r="A279" s="355" t="s">
        <v>111</v>
      </c>
      <c r="B279" s="356"/>
      <c r="C279" s="357"/>
      <c r="D279" s="356"/>
      <c r="E279" s="356"/>
      <c r="F279" s="356"/>
      <c r="G279" s="356"/>
      <c r="H279" s="356"/>
      <c r="I279" s="358"/>
      <c r="J279" s="359"/>
      <c r="K279" s="360"/>
      <c r="L279" s="360"/>
      <c r="M279" s="360"/>
      <c r="N279" s="360"/>
      <c r="O279" s="360"/>
      <c r="P279" s="360"/>
    </row>
    <row r="280" spans="1:16" ht="19.5" hidden="1" x14ac:dyDescent="0.3">
      <c r="A280" s="361"/>
      <c r="B280" s="362" t="s">
        <v>112</v>
      </c>
      <c r="C280" s="363"/>
      <c r="D280" s="364"/>
      <c r="E280" s="363"/>
      <c r="F280" s="363"/>
      <c r="G280" s="365"/>
      <c r="H280" s="366" t="s">
        <v>33</v>
      </c>
      <c r="I280" s="367">
        <f ca="1">I293</f>
        <v>0</v>
      </c>
      <c r="J280" s="367">
        <f>J293</f>
        <v>0</v>
      </c>
      <c r="K280" s="368">
        <f ca="1">IF(I280&gt;0,J280*100/I280,0)</f>
        <v>0</v>
      </c>
      <c r="L280" s="369"/>
      <c r="M280" s="369"/>
      <c r="N280" s="369"/>
      <c r="O280" s="369"/>
      <c r="P280" s="369"/>
    </row>
    <row r="281" spans="1:16" ht="19.5" hidden="1" x14ac:dyDescent="0.3">
      <c r="A281" s="361"/>
      <c r="B281" s="363"/>
      <c r="C281" s="363"/>
      <c r="D281" s="364"/>
      <c r="E281" s="363"/>
      <c r="F281" s="363"/>
      <c r="G281" s="365"/>
      <c r="H281" s="366" t="s">
        <v>44</v>
      </c>
      <c r="I281" s="367">
        <f ca="1">I292</f>
        <v>0</v>
      </c>
      <c r="J281" s="367">
        <f>J292</f>
        <v>0</v>
      </c>
      <c r="K281" s="368">
        <f ca="1">IF(I281&gt;0,J281*100/I281,0)</f>
        <v>0</v>
      </c>
      <c r="L281" s="369"/>
      <c r="M281" s="369"/>
      <c r="N281" s="369"/>
      <c r="O281" s="369"/>
      <c r="P281" s="369"/>
    </row>
    <row r="282" spans="1:16" ht="19.5" hidden="1" x14ac:dyDescent="0.3">
      <c r="A282" s="157"/>
      <c r="B282" s="53"/>
      <c r="C282" s="158" t="s">
        <v>16</v>
      </c>
      <c r="D282" s="554" t="s">
        <v>17</v>
      </c>
      <c r="E282" s="53"/>
      <c r="F282" s="53"/>
      <c r="G282" s="55"/>
      <c r="H282" s="160" t="s">
        <v>12</v>
      </c>
      <c r="I282" s="57"/>
      <c r="J282" s="57"/>
      <c r="K282" s="58"/>
      <c r="L282" s="161">
        <f ca="1">L283+L284</f>
        <v>0</v>
      </c>
      <c r="M282" s="161">
        <f ca="1">M283+M284</f>
        <v>0</v>
      </c>
      <c r="N282" s="161">
        <f ca="1">N283+N284</f>
        <v>0</v>
      </c>
      <c r="O282" s="161">
        <f t="shared" ref="O282:O290" ca="1" si="36">IF(L282&gt;0,N282*100/L282,0)</f>
        <v>0</v>
      </c>
      <c r="P282" s="161">
        <f t="shared" ref="P282:P290" ca="1" si="37">IF(M282&gt;0,N282*100/M282,0)</f>
        <v>0</v>
      </c>
    </row>
    <row r="283" spans="1:16" ht="18.75" hidden="1" x14ac:dyDescent="0.25">
      <c r="A283" s="521"/>
      <c r="B283" s="506"/>
      <c r="C283" s="506"/>
      <c r="D283" s="506"/>
      <c r="E283" s="520" t="s">
        <v>18</v>
      </c>
      <c r="F283" s="506"/>
      <c r="G283" s="505"/>
      <c r="H283" s="524" t="s">
        <v>12</v>
      </c>
      <c r="I283" s="199"/>
      <c r="J283" s="199"/>
      <c r="K283" s="501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157"/>
      <c r="B284" s="53"/>
      <c r="C284" s="53"/>
      <c r="D284" s="53"/>
      <c r="E284" s="336" t="s">
        <v>19</v>
      </c>
      <c r="F284" s="53"/>
      <c r="G284" s="55"/>
      <c r="H284" s="162" t="s">
        <v>12</v>
      </c>
      <c r="I284" s="57"/>
      <c r="J284" s="57"/>
      <c r="K284" s="58"/>
      <c r="L284" s="61">
        <f t="shared" ca="1" si="38"/>
        <v>0</v>
      </c>
      <c r="M284" s="61">
        <f t="shared" ca="1" si="38"/>
        <v>0</v>
      </c>
      <c r="N284" s="61">
        <f t="shared" ca="1" si="38"/>
        <v>0</v>
      </c>
      <c r="O284" s="61">
        <f t="shared" ca="1" si="36"/>
        <v>0</v>
      </c>
      <c r="P284" s="61">
        <f t="shared" ca="1" si="37"/>
        <v>0</v>
      </c>
    </row>
    <row r="285" spans="1:16" ht="18.75" hidden="1" x14ac:dyDescent="0.25">
      <c r="A285" s="157"/>
      <c r="B285" s="53"/>
      <c r="C285" s="53"/>
      <c r="D285" s="553" t="s">
        <v>20</v>
      </c>
      <c r="E285" s="53"/>
      <c r="F285" s="53"/>
      <c r="G285" s="55"/>
      <c r="H285" s="163" t="s">
        <v>12</v>
      </c>
      <c r="I285" s="164"/>
      <c r="J285" s="164"/>
      <c r="K285" s="165"/>
      <c r="L285" s="61">
        <f ca="1">L286+L287</f>
        <v>0</v>
      </c>
      <c r="M285" s="61">
        <f ca="1">M286+M287</f>
        <v>0</v>
      </c>
      <c r="N285" s="61">
        <f ca="1">N286+N287</f>
        <v>0</v>
      </c>
      <c r="O285" s="61">
        <f t="shared" ca="1" si="36"/>
        <v>0</v>
      </c>
      <c r="P285" s="61">
        <f t="shared" ca="1" si="37"/>
        <v>0</v>
      </c>
    </row>
    <row r="286" spans="1:16" ht="18.75" hidden="1" x14ac:dyDescent="0.25">
      <c r="A286" s="521"/>
      <c r="B286" s="506"/>
      <c r="C286" s="506"/>
      <c r="D286" s="506"/>
      <c r="E286" s="520" t="s">
        <v>34</v>
      </c>
      <c r="F286" s="506"/>
      <c r="G286" s="505"/>
      <c r="H286" s="522" t="s">
        <v>12</v>
      </c>
      <c r="I286" s="512"/>
      <c r="J286" s="512"/>
      <c r="K286" s="511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157"/>
      <c r="B287" s="53"/>
      <c r="C287" s="53"/>
      <c r="D287" s="53"/>
      <c r="E287" s="336" t="s">
        <v>35</v>
      </c>
      <c r="F287" s="53"/>
      <c r="G287" s="55"/>
      <c r="H287" s="163" t="s">
        <v>12</v>
      </c>
      <c r="I287" s="164"/>
      <c r="J287" s="164"/>
      <c r="K287" s="165"/>
      <c r="L287" s="61">
        <f ca="1">IFERROR(__xludf.DUMMYFUNCTION("IMPORTRANGE(""https://docs.google.com/spreadsheets/d/1-uDff_7J0KD5mKrp0Vvzr7lt3OU09vwQwhkpOPPYv2Y/edit?usp=sharing"",""งบพรบ!DO53"")"),0)</f>
        <v>0</v>
      </c>
      <c r="M287" s="61">
        <f ca="1">IFERROR(__xludf.DUMMYFUNCTION("IMPORTRANGE(""https://docs.google.com/spreadsheets/d/1-uDff_7J0KD5mKrp0Vvzr7lt3OU09vwQwhkpOPPYv2Y/edit?usp=sharing"",""งบพรบ!DT53"")"),0)</f>
        <v>0</v>
      </c>
      <c r="N287" s="61">
        <f ca="1">IFERROR(__xludf.DUMMYFUNCTION("IMPORTRANGE(""https://docs.google.com/spreadsheets/d/1-uDff_7J0KD5mKrp0Vvzr7lt3OU09vwQwhkpOPPYv2Y/edit?usp=sharing"",""งบพรบ!DV53"")"),0)</f>
        <v>0</v>
      </c>
      <c r="O287" s="61">
        <f t="shared" ca="1" si="36"/>
        <v>0</v>
      </c>
      <c r="P287" s="61">
        <f t="shared" ca="1" si="37"/>
        <v>0</v>
      </c>
    </row>
    <row r="288" spans="1:16" ht="18.75" hidden="1" x14ac:dyDescent="0.25">
      <c r="A288" s="157"/>
      <c r="B288" s="53"/>
      <c r="C288" s="53"/>
      <c r="D288" s="553" t="s">
        <v>21</v>
      </c>
      <c r="E288" s="53"/>
      <c r="F288" s="53"/>
      <c r="G288" s="55"/>
      <c r="H288" s="166" t="s">
        <v>12</v>
      </c>
      <c r="I288" s="164"/>
      <c r="J288" s="164"/>
      <c r="K288" s="165"/>
      <c r="L288" s="61">
        <f ca="1">L289+L290</f>
        <v>0</v>
      </c>
      <c r="M288" s="61">
        <f ca="1">M289+M290</f>
        <v>0</v>
      </c>
      <c r="N288" s="61">
        <f ca="1">N289+N290</f>
        <v>0</v>
      </c>
      <c r="O288" s="61">
        <f t="shared" ca="1" si="36"/>
        <v>0</v>
      </c>
      <c r="P288" s="61">
        <f t="shared" ca="1" si="37"/>
        <v>0</v>
      </c>
    </row>
    <row r="289" spans="1:16" ht="18.75" hidden="1" x14ac:dyDescent="0.25">
      <c r="A289" s="521"/>
      <c r="B289" s="506"/>
      <c r="C289" s="506"/>
      <c r="D289" s="506"/>
      <c r="E289" s="520" t="s">
        <v>18</v>
      </c>
      <c r="F289" s="506"/>
      <c r="G289" s="505"/>
      <c r="H289" s="522" t="s">
        <v>12</v>
      </c>
      <c r="I289" s="512"/>
      <c r="J289" s="512"/>
      <c r="K289" s="511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157"/>
      <c r="B290" s="53"/>
      <c r="C290" s="53"/>
      <c r="D290" s="53"/>
      <c r="E290" s="336" t="s">
        <v>19</v>
      </c>
      <c r="F290" s="53"/>
      <c r="G290" s="55"/>
      <c r="H290" s="166" t="s">
        <v>12</v>
      </c>
      <c r="I290" s="164"/>
      <c r="J290" s="164"/>
      <c r="K290" s="165"/>
      <c r="L290" s="61">
        <f ca="1">IFERROR(__xludf.DUMMYFUNCTION("IMPORTRANGE(""https://docs.google.com/spreadsheets/d/1-uDff_7J0KD5mKrp0Vvzr7lt3OU09vwQwhkpOPPYv2Y/edit?usp=sharing"",""งบพรบ!DR53"")"),0)</f>
        <v>0</v>
      </c>
      <c r="M290" s="61">
        <f ca="1">IFERROR(__xludf.DUMMYFUNCTION("IMPORTRANGE(""https://docs.google.com/spreadsheets/d/1-uDff_7J0KD5mKrp0Vvzr7lt3OU09vwQwhkpOPPYv2Y/edit?usp=sharing"",""งบพรบ!DU53"")"),0)</f>
        <v>0</v>
      </c>
      <c r="N290" s="61">
        <f ca="1">IFERROR(__xludf.DUMMYFUNCTION("IMPORTRANGE(""https://docs.google.com/spreadsheets/d/1-uDff_7J0KD5mKrp0Vvzr7lt3OU09vwQwhkpOPPYv2Y/edit?usp=sharing"",""งบพรบ!DW53"")"),0)</f>
        <v>0</v>
      </c>
      <c r="O290" s="61">
        <f t="shared" ca="1" si="36"/>
        <v>0</v>
      </c>
      <c r="P290" s="61">
        <f t="shared" ca="1" si="37"/>
        <v>0</v>
      </c>
    </row>
    <row r="291" spans="1:16" ht="19.5" hidden="1" x14ac:dyDescent="0.3">
      <c r="A291" s="167"/>
      <c r="B291" s="168"/>
      <c r="C291" s="158" t="s">
        <v>16</v>
      </c>
      <c r="D291" s="551" t="s">
        <v>36</v>
      </c>
      <c r="E291" s="170"/>
      <c r="F291" s="170"/>
      <c r="G291" s="171"/>
      <c r="H291" s="172"/>
      <c r="I291" s="164"/>
      <c r="J291" s="164"/>
      <c r="K291" s="165"/>
      <c r="L291" s="165"/>
      <c r="M291" s="165"/>
      <c r="N291" s="165"/>
      <c r="O291" s="165"/>
      <c r="P291" s="165"/>
    </row>
    <row r="292" spans="1:16" ht="18.75" hidden="1" x14ac:dyDescent="0.25">
      <c r="A292" s="167"/>
      <c r="B292" s="168"/>
      <c r="C292" s="168"/>
      <c r="D292" s="195" t="s">
        <v>113</v>
      </c>
      <c r="E292" s="168"/>
      <c r="F292" s="174"/>
      <c r="G292" s="172"/>
      <c r="H292" s="185" t="s">
        <v>44</v>
      </c>
      <c r="I292" s="196">
        <f ca="1">IFERROR(__xludf.DUMMYFUNCTION("IMPORTRANGE(""https://docs.google.com/spreadsheets/d/1eHaY18a8A9IcSdp1K8H6x8fbOy06t2VsZHhMHf-1x7Y/edit?usp=sharing"",""แผน!EE53"")"),0)</f>
        <v>0</v>
      </c>
      <c r="J292" s="558">
        <v>0</v>
      </c>
      <c r="K292" s="183">
        <f ca="1">IF(I292&gt;0,J292*100/I292,0)</f>
        <v>0</v>
      </c>
      <c r="L292" s="165"/>
      <c r="M292" s="165"/>
      <c r="N292" s="165"/>
      <c r="O292" s="165"/>
      <c r="P292" s="165"/>
    </row>
    <row r="293" spans="1:16" ht="19.5" hidden="1" x14ac:dyDescent="0.3">
      <c r="A293" s="167"/>
      <c r="B293" s="168"/>
      <c r="C293" s="168"/>
      <c r="D293" s="195" t="s">
        <v>114</v>
      </c>
      <c r="E293" s="168"/>
      <c r="F293" s="174"/>
      <c r="G293" s="172"/>
      <c r="H293" s="175" t="s">
        <v>33</v>
      </c>
      <c r="I293" s="176">
        <f ca="1">IFERROR(__xludf.DUMMYFUNCTION("IMPORTRANGE(""https://docs.google.com/spreadsheets/d/1eHaY18a8A9IcSdp1K8H6x8fbOy06t2VsZHhMHf-1x7Y/edit?usp=sharing"",""แผน!ED53"")"),0)</f>
        <v>0</v>
      </c>
      <c r="J293" s="176">
        <f>J296</f>
        <v>0</v>
      </c>
      <c r="K293" s="177">
        <f ca="1">IF(I293&gt;0,J293*100/I293,0)</f>
        <v>0</v>
      </c>
      <c r="L293" s="165"/>
      <c r="M293" s="165"/>
      <c r="N293" s="165"/>
      <c r="O293" s="165"/>
      <c r="P293" s="165"/>
    </row>
    <row r="294" spans="1:16" ht="19.5" hidden="1" x14ac:dyDescent="0.3">
      <c r="A294" s="167"/>
      <c r="B294" s="168"/>
      <c r="C294" s="168"/>
      <c r="D294" s="174"/>
      <c r="E294" s="370" t="s">
        <v>115</v>
      </c>
      <c r="F294" s="174"/>
      <c r="G294" s="172"/>
      <c r="H294" s="172"/>
      <c r="I294" s="164"/>
      <c r="J294" s="57"/>
      <c r="K294" s="165"/>
      <c r="L294" s="165"/>
      <c r="M294" s="165"/>
      <c r="N294" s="165"/>
      <c r="O294" s="165"/>
      <c r="P294" s="165"/>
    </row>
    <row r="295" spans="1:16" ht="19.5" hidden="1" x14ac:dyDescent="0.3">
      <c r="A295" s="167"/>
      <c r="B295" s="168"/>
      <c r="C295" s="168"/>
      <c r="D295" s="174"/>
      <c r="E295" s="195" t="s">
        <v>116</v>
      </c>
      <c r="F295" s="174"/>
      <c r="G295" s="172"/>
      <c r="H295" s="297" t="s">
        <v>33</v>
      </c>
      <c r="I295" s="184">
        <f ca="1">IFERROR(__xludf.DUMMYFUNCTION("IMPORTRANGE(""https://docs.google.com/spreadsheets/d/1eHaY18a8A9IcSdp1K8H6x8fbOy06t2VsZHhMHf-1x7Y/edit?usp=sharing"",""แผน!ED53"")"),0)</f>
        <v>0</v>
      </c>
      <c r="J295" s="558">
        <v>0</v>
      </c>
      <c r="K295" s="183">
        <f ca="1">IF(I295&gt;0,J295*100/I295,0)</f>
        <v>0</v>
      </c>
      <c r="L295" s="165"/>
      <c r="M295" s="165"/>
      <c r="N295" s="165"/>
      <c r="O295" s="165"/>
      <c r="P295" s="165"/>
    </row>
    <row r="296" spans="1:16" ht="19.5" hidden="1" x14ac:dyDescent="0.3">
      <c r="A296" s="167"/>
      <c r="B296" s="168"/>
      <c r="C296" s="168"/>
      <c r="D296" s="174"/>
      <c r="E296" s="195" t="s">
        <v>117</v>
      </c>
      <c r="F296" s="174"/>
      <c r="G296" s="172"/>
      <c r="H296" s="297" t="s">
        <v>33</v>
      </c>
      <c r="I296" s="184">
        <f ca="1">IFERROR(__xludf.DUMMYFUNCTION("IMPORTRANGE(""https://docs.google.com/spreadsheets/d/1eHaY18a8A9IcSdp1K8H6x8fbOy06t2VsZHhMHf-1x7Y/edit?usp=sharing"",""แผน!ED53"")"),0)</f>
        <v>0</v>
      </c>
      <c r="J296" s="558">
        <v>0</v>
      </c>
      <c r="K296" s="183">
        <f ca="1">IF(I296&gt;0,J296*100/I296,0)</f>
        <v>0</v>
      </c>
      <c r="L296" s="165"/>
      <c r="M296" s="165"/>
      <c r="N296" s="165"/>
      <c r="O296" s="165"/>
      <c r="P296" s="165"/>
    </row>
    <row r="297" spans="1:16" ht="19.5" hidden="1" x14ac:dyDescent="0.3">
      <c r="A297" s="337"/>
      <c r="B297" s="213"/>
      <c r="C297" s="213"/>
      <c r="D297" s="17"/>
      <c r="E297" s="212"/>
      <c r="F297" s="17"/>
      <c r="G297" s="20"/>
      <c r="H297" s="20"/>
      <c r="I297" s="22"/>
      <c r="J297" s="22"/>
      <c r="K297" s="23"/>
      <c r="L297" s="23"/>
      <c r="M297" s="23"/>
      <c r="N297" s="23"/>
      <c r="O297" s="23"/>
      <c r="P297" s="23"/>
    </row>
    <row r="298" spans="1:16" ht="18.75" hidden="1" x14ac:dyDescent="0.25">
      <c r="A298" s="337"/>
      <c r="B298" s="213"/>
      <c r="C298" s="213"/>
      <c r="D298" s="17"/>
      <c r="E298" s="25"/>
      <c r="F298" s="17"/>
      <c r="G298" s="20"/>
      <c r="H298" s="26"/>
      <c r="I298" s="339"/>
      <c r="J298" s="339"/>
      <c r="K298" s="27"/>
      <c r="L298" s="23"/>
      <c r="M298" s="23"/>
      <c r="N298" s="23"/>
      <c r="O298" s="23"/>
      <c r="P298" s="23"/>
    </row>
    <row r="299" spans="1:16" ht="18.75" hidden="1" x14ac:dyDescent="0.25">
      <c r="A299" s="371"/>
      <c r="B299" s="372"/>
      <c r="C299" s="372"/>
      <c r="D299" s="373"/>
      <c r="E299" s="374"/>
      <c r="F299" s="373"/>
      <c r="G299" s="375"/>
      <c r="H299" s="376"/>
      <c r="I299" s="377"/>
      <c r="J299" s="377"/>
      <c r="K299" s="378"/>
      <c r="L299" s="379"/>
      <c r="M299" s="379"/>
      <c r="N299" s="379"/>
      <c r="O299" s="379"/>
      <c r="P299" s="379"/>
    </row>
    <row r="300" spans="1:16" ht="19.5" x14ac:dyDescent="0.3">
      <c r="A300" s="380" t="s">
        <v>118</v>
      </c>
      <c r="B300" s="381"/>
      <c r="C300" s="381"/>
      <c r="D300" s="381"/>
      <c r="E300" s="382"/>
      <c r="F300" s="382"/>
      <c r="G300" s="382"/>
      <c r="H300" s="382"/>
      <c r="I300" s="383"/>
      <c r="J300" s="383"/>
      <c r="K300" s="384"/>
      <c r="L300" s="384"/>
      <c r="M300" s="384"/>
      <c r="N300" s="384"/>
      <c r="O300" s="384"/>
      <c r="P300" s="385"/>
    </row>
    <row r="301" spans="1:16" ht="19.5" hidden="1" x14ac:dyDescent="0.3">
      <c r="A301" s="386" t="s">
        <v>119</v>
      </c>
      <c r="B301" s="387"/>
      <c r="C301" s="387"/>
      <c r="D301" s="388"/>
      <c r="E301" s="388"/>
      <c r="F301" s="388"/>
      <c r="G301" s="389"/>
      <c r="H301" s="389"/>
      <c r="I301" s="390"/>
      <c r="J301" s="390"/>
      <c r="K301" s="391"/>
      <c r="L301" s="391"/>
      <c r="M301" s="391"/>
      <c r="N301" s="391"/>
      <c r="O301" s="391"/>
      <c r="P301" s="391"/>
    </row>
    <row r="302" spans="1:16" ht="19.5" hidden="1" x14ac:dyDescent="0.3">
      <c r="A302" s="392"/>
      <c r="B302" s="393" t="s">
        <v>120</v>
      </c>
      <c r="C302" s="394"/>
      <c r="D302" s="394"/>
      <c r="E302" s="394"/>
      <c r="F302" s="394"/>
      <c r="G302" s="395"/>
      <c r="H302" s="396" t="s">
        <v>33</v>
      </c>
      <c r="I302" s="397">
        <f ca="1">I314</f>
        <v>0</v>
      </c>
      <c r="J302" s="397">
        <f>J314</f>
        <v>0</v>
      </c>
      <c r="K302" s="398">
        <f ca="1">IF(I302&gt;0,J302*100/I302,0)</f>
        <v>0</v>
      </c>
      <c r="L302" s="399"/>
      <c r="M302" s="399"/>
      <c r="N302" s="399"/>
      <c r="O302" s="399"/>
      <c r="P302" s="399"/>
    </row>
    <row r="303" spans="1:16" ht="19.5" hidden="1" x14ac:dyDescent="0.3">
      <c r="A303" s="157"/>
      <c r="B303" s="53"/>
      <c r="C303" s="158" t="s">
        <v>16</v>
      </c>
      <c r="D303" s="554" t="s">
        <v>17</v>
      </c>
      <c r="E303" s="53"/>
      <c r="F303" s="53"/>
      <c r="G303" s="55"/>
      <c r="H303" s="160" t="s">
        <v>12</v>
      </c>
      <c r="I303" s="57"/>
      <c r="J303" s="57"/>
      <c r="K303" s="58"/>
      <c r="L303" s="161">
        <f ca="1">L304+L305</f>
        <v>0</v>
      </c>
      <c r="M303" s="161">
        <f ca="1">M304+M305</f>
        <v>0</v>
      </c>
      <c r="N303" s="161">
        <f ca="1">N304+N305</f>
        <v>0</v>
      </c>
      <c r="O303" s="161">
        <f t="shared" ref="O303:O311" ca="1" si="39">IF(L303&gt;0,N303*100/L303,0)</f>
        <v>0</v>
      </c>
      <c r="P303" s="161">
        <f t="shared" ref="P303:P311" ca="1" si="40">IF(M303&gt;0,N303*100/M303,0)</f>
        <v>0</v>
      </c>
    </row>
    <row r="304" spans="1:16" ht="18.75" hidden="1" x14ac:dyDescent="0.25">
      <c r="A304" s="521"/>
      <c r="B304" s="506"/>
      <c r="C304" s="506"/>
      <c r="D304" s="506"/>
      <c r="E304" s="520" t="s">
        <v>18</v>
      </c>
      <c r="F304" s="506"/>
      <c r="G304" s="505"/>
      <c r="H304" s="524" t="s">
        <v>12</v>
      </c>
      <c r="I304" s="199"/>
      <c r="J304" s="199"/>
      <c r="K304" s="501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157"/>
      <c r="B305" s="53"/>
      <c r="C305" s="53"/>
      <c r="D305" s="53"/>
      <c r="E305" s="336" t="s">
        <v>19</v>
      </c>
      <c r="F305" s="53"/>
      <c r="G305" s="55"/>
      <c r="H305" s="162" t="s">
        <v>12</v>
      </c>
      <c r="I305" s="57"/>
      <c r="J305" s="57"/>
      <c r="K305" s="58"/>
      <c r="L305" s="61">
        <f t="shared" ca="1" si="41"/>
        <v>0</v>
      </c>
      <c r="M305" s="61">
        <f t="shared" ca="1" si="41"/>
        <v>0</v>
      </c>
      <c r="N305" s="61">
        <f t="shared" ca="1" si="41"/>
        <v>0</v>
      </c>
      <c r="O305" s="61">
        <f t="shared" ca="1" si="39"/>
        <v>0</v>
      </c>
      <c r="P305" s="61">
        <f t="shared" ca="1" si="40"/>
        <v>0</v>
      </c>
    </row>
    <row r="306" spans="1:16" ht="18.75" hidden="1" x14ac:dyDescent="0.25">
      <c r="A306" s="157"/>
      <c r="B306" s="53"/>
      <c r="C306" s="53"/>
      <c r="D306" s="553" t="s">
        <v>20</v>
      </c>
      <c r="E306" s="53"/>
      <c r="F306" s="53"/>
      <c r="G306" s="55"/>
      <c r="H306" s="163" t="s">
        <v>12</v>
      </c>
      <c r="I306" s="164"/>
      <c r="J306" s="164"/>
      <c r="K306" s="165"/>
      <c r="L306" s="61">
        <f ca="1">L307+L308</f>
        <v>0</v>
      </c>
      <c r="M306" s="61">
        <f ca="1">M307+M308</f>
        <v>0</v>
      </c>
      <c r="N306" s="61">
        <f ca="1">N307+N308</f>
        <v>0</v>
      </c>
      <c r="O306" s="61">
        <f t="shared" ca="1" si="39"/>
        <v>0</v>
      </c>
      <c r="P306" s="61">
        <f t="shared" ca="1" si="40"/>
        <v>0</v>
      </c>
    </row>
    <row r="307" spans="1:16" ht="18.75" hidden="1" x14ac:dyDescent="0.25">
      <c r="A307" s="521"/>
      <c r="B307" s="506"/>
      <c r="C307" s="506"/>
      <c r="D307" s="506"/>
      <c r="E307" s="520" t="s">
        <v>34</v>
      </c>
      <c r="F307" s="506"/>
      <c r="G307" s="505"/>
      <c r="H307" s="522" t="s">
        <v>12</v>
      </c>
      <c r="I307" s="512"/>
      <c r="J307" s="512"/>
      <c r="K307" s="511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157"/>
      <c r="B308" s="53"/>
      <c r="C308" s="53"/>
      <c r="D308" s="53"/>
      <c r="E308" s="336" t="s">
        <v>35</v>
      </c>
      <c r="F308" s="53"/>
      <c r="G308" s="55"/>
      <c r="H308" s="163" t="s">
        <v>12</v>
      </c>
      <c r="I308" s="164"/>
      <c r="J308" s="164"/>
      <c r="K308" s="165"/>
      <c r="L308" s="61">
        <f ca="1">IFERROR(__xludf.DUMMYFUNCTION("IMPORTRANGE(""https://docs.google.com/spreadsheets/d/1-uDff_7J0KD5mKrp0Vvzr7lt3OU09vwQwhkpOPPYv2Y/edit?usp=sharing"",""งบพรบ!DY53"")"),0)</f>
        <v>0</v>
      </c>
      <c r="M308" s="61">
        <f ca="1">IFERROR(__xludf.DUMMYFUNCTION("IMPORTRANGE(""https://docs.google.com/spreadsheets/d/1-uDff_7J0KD5mKrp0Vvzr7lt3OU09vwQwhkpOPPYv2Y/edit?usp=sharing"",""งบพรบ!ED53"")"),0)</f>
        <v>0</v>
      </c>
      <c r="N308" s="61">
        <f ca="1">IFERROR(__xludf.DUMMYFUNCTION("IMPORTRANGE(""https://docs.google.com/spreadsheets/d/1-uDff_7J0KD5mKrp0Vvzr7lt3OU09vwQwhkpOPPYv2Y/edit?usp=sharing"",""งบพรบ!EF53"")"),0)</f>
        <v>0</v>
      </c>
      <c r="O308" s="61">
        <f t="shared" ca="1" si="39"/>
        <v>0</v>
      </c>
      <c r="P308" s="61">
        <f t="shared" ca="1" si="40"/>
        <v>0</v>
      </c>
    </row>
    <row r="309" spans="1:16" ht="18.75" hidden="1" x14ac:dyDescent="0.25">
      <c r="A309" s="157"/>
      <c r="B309" s="53"/>
      <c r="C309" s="53"/>
      <c r="D309" s="553" t="s">
        <v>21</v>
      </c>
      <c r="E309" s="53"/>
      <c r="F309" s="53"/>
      <c r="G309" s="55"/>
      <c r="H309" s="166" t="s">
        <v>12</v>
      </c>
      <c r="I309" s="164"/>
      <c r="J309" s="164"/>
      <c r="K309" s="165"/>
      <c r="L309" s="61">
        <f ca="1">L310+L311</f>
        <v>0</v>
      </c>
      <c r="M309" s="61">
        <f ca="1">M310+M311</f>
        <v>0</v>
      </c>
      <c r="N309" s="61">
        <f ca="1">N310+N311</f>
        <v>0</v>
      </c>
      <c r="O309" s="61">
        <f t="shared" ca="1" si="39"/>
        <v>0</v>
      </c>
      <c r="P309" s="61">
        <f t="shared" ca="1" si="40"/>
        <v>0</v>
      </c>
    </row>
    <row r="310" spans="1:16" ht="18.75" hidden="1" x14ac:dyDescent="0.25">
      <c r="A310" s="521"/>
      <c r="B310" s="506"/>
      <c r="C310" s="506"/>
      <c r="D310" s="506"/>
      <c r="E310" s="520" t="s">
        <v>18</v>
      </c>
      <c r="F310" s="506"/>
      <c r="G310" s="505"/>
      <c r="H310" s="522" t="s">
        <v>12</v>
      </c>
      <c r="I310" s="512"/>
      <c r="J310" s="512"/>
      <c r="K310" s="511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157"/>
      <c r="B311" s="53"/>
      <c r="C311" s="53"/>
      <c r="D311" s="53"/>
      <c r="E311" s="336" t="s">
        <v>19</v>
      </c>
      <c r="F311" s="53"/>
      <c r="G311" s="55"/>
      <c r="H311" s="166" t="s">
        <v>12</v>
      </c>
      <c r="I311" s="164"/>
      <c r="J311" s="164"/>
      <c r="K311" s="165"/>
      <c r="L311" s="61">
        <f ca="1">IFERROR(__xludf.DUMMYFUNCTION("IMPORTRANGE(""https://docs.google.com/spreadsheets/d/1-uDff_7J0KD5mKrp0Vvzr7lt3OU09vwQwhkpOPPYv2Y/edit?usp=sharing"",""งบพรบ!EB53"")"),0)</f>
        <v>0</v>
      </c>
      <c r="M311" s="61">
        <f ca="1">IFERROR(__xludf.DUMMYFUNCTION("IMPORTRANGE(""https://docs.google.com/spreadsheets/d/1-uDff_7J0KD5mKrp0Vvzr7lt3OU09vwQwhkpOPPYv2Y/edit?usp=sharing"",""งบพรบ!EE53"")"),0)</f>
        <v>0</v>
      </c>
      <c r="N311" s="61">
        <f ca="1">IFERROR(__xludf.DUMMYFUNCTION("IMPORTRANGE(""https://docs.google.com/spreadsheets/d/1-uDff_7J0KD5mKrp0Vvzr7lt3OU09vwQwhkpOPPYv2Y/edit?usp=sharing"",""งบพรบ!EG53"")"),0)</f>
        <v>0</v>
      </c>
      <c r="O311" s="61">
        <f t="shared" ca="1" si="39"/>
        <v>0</v>
      </c>
      <c r="P311" s="61">
        <f t="shared" ca="1" si="40"/>
        <v>0</v>
      </c>
    </row>
    <row r="312" spans="1:16" ht="19.5" hidden="1" x14ac:dyDescent="0.3">
      <c r="A312" s="167"/>
      <c r="B312" s="168"/>
      <c r="C312" s="158" t="s">
        <v>16</v>
      </c>
      <c r="D312" s="551" t="s">
        <v>36</v>
      </c>
      <c r="E312" s="170"/>
      <c r="F312" s="170"/>
      <c r="G312" s="171"/>
      <c r="H312" s="172"/>
      <c r="I312" s="57"/>
      <c r="J312" s="57"/>
      <c r="K312" s="58"/>
      <c r="L312" s="58"/>
      <c r="M312" s="58"/>
      <c r="N312" s="58"/>
      <c r="O312" s="58"/>
      <c r="P312" s="58"/>
    </row>
    <row r="313" spans="1:16" ht="18.75" hidden="1" x14ac:dyDescent="0.25">
      <c r="A313" s="167"/>
      <c r="B313" s="168"/>
      <c r="C313" s="168"/>
      <c r="D313" s="195" t="s">
        <v>121</v>
      </c>
      <c r="E313" s="174"/>
      <c r="F313" s="174"/>
      <c r="G313" s="172"/>
      <c r="H313" s="172"/>
      <c r="I313" s="57"/>
      <c r="J313" s="558">
        <v>0</v>
      </c>
      <c r="K313" s="58"/>
      <c r="L313" s="58"/>
      <c r="M313" s="58"/>
      <c r="N313" s="58"/>
      <c r="O313" s="58"/>
      <c r="P313" s="58"/>
    </row>
    <row r="314" spans="1:16" ht="18.75" hidden="1" x14ac:dyDescent="0.25">
      <c r="A314" s="167"/>
      <c r="B314" s="168"/>
      <c r="C314" s="168"/>
      <c r="D314" s="195" t="s">
        <v>114</v>
      </c>
      <c r="E314" s="174"/>
      <c r="F314" s="174"/>
      <c r="G314" s="172"/>
      <c r="H314" s="297" t="s">
        <v>33</v>
      </c>
      <c r="I314" s="196">
        <f ca="1">IFERROR(__xludf.DUMMYFUNCTION("IMPORTRANGE(""https://docs.google.com/spreadsheets/d/1eHaY18a8A9IcSdp1K8H6x8fbOy06t2VsZHhMHf-1x7Y/edit?usp=sharing"",""แผน!EF53"")"),0)</f>
        <v>0</v>
      </c>
      <c r="J314" s="558">
        <v>0</v>
      </c>
      <c r="K314" s="61">
        <f ca="1">IF(I314&gt;0,J314*100/I314,0)</f>
        <v>0</v>
      </c>
      <c r="L314" s="58"/>
      <c r="M314" s="58"/>
      <c r="N314" s="58"/>
      <c r="O314" s="58"/>
      <c r="P314" s="58"/>
    </row>
    <row r="315" spans="1:16" ht="18.75" hidden="1" x14ac:dyDescent="0.25">
      <c r="A315" s="167"/>
      <c r="B315" s="168"/>
      <c r="C315" s="168"/>
      <c r="D315" s="195" t="s">
        <v>122</v>
      </c>
      <c r="E315" s="174"/>
      <c r="F315" s="174"/>
      <c r="G315" s="172"/>
      <c r="H315" s="297" t="s">
        <v>33</v>
      </c>
      <c r="I315" s="196">
        <f ca="1">IFERROR(__xludf.DUMMYFUNCTION("IMPORTRANGE(""https://docs.google.com/spreadsheets/d/1eHaY18a8A9IcSdp1K8H6x8fbOy06t2VsZHhMHf-1x7Y/edit?usp=sharing"",""แผน!EG53"")"),0)</f>
        <v>0</v>
      </c>
      <c r="J315" s="558">
        <v>0</v>
      </c>
      <c r="K315" s="61">
        <f ca="1">IF(I315&gt;0,J315*100/I315,0)</f>
        <v>0</v>
      </c>
      <c r="L315" s="58"/>
      <c r="M315" s="58"/>
      <c r="N315" s="58"/>
      <c r="O315" s="58"/>
      <c r="P315" s="58"/>
    </row>
    <row r="316" spans="1:16" ht="18.75" hidden="1" x14ac:dyDescent="0.25">
      <c r="A316" s="167"/>
      <c r="B316" s="168"/>
      <c r="C316" s="168"/>
      <c r="D316" s="195" t="s">
        <v>48</v>
      </c>
      <c r="E316" s="174"/>
      <c r="F316" s="174"/>
      <c r="G316" s="172"/>
      <c r="H316" s="297" t="s">
        <v>33</v>
      </c>
      <c r="I316" s="196">
        <f ca="1">IFERROR(__xludf.DUMMYFUNCTION("IMPORTRANGE(""https://docs.google.com/spreadsheets/d/1eHaY18a8A9IcSdp1K8H6x8fbOy06t2VsZHhMHf-1x7Y/edit?usp=sharing"",""แผน!EH53"")"),0)</f>
        <v>0</v>
      </c>
      <c r="J316" s="558">
        <v>0</v>
      </c>
      <c r="K316" s="61">
        <f ca="1">IF(I316&gt;0,J316*100/I316,0)</f>
        <v>0</v>
      </c>
      <c r="L316" s="58"/>
      <c r="M316" s="58"/>
      <c r="N316" s="58"/>
      <c r="O316" s="58"/>
      <c r="P316" s="58"/>
    </row>
    <row r="317" spans="1:16" ht="18.75" hidden="1" x14ac:dyDescent="0.25">
      <c r="A317" s="510"/>
      <c r="B317" s="509"/>
      <c r="C317" s="509"/>
      <c r="D317" s="520" t="s">
        <v>123</v>
      </c>
      <c r="E317" s="506"/>
      <c r="F317" s="506"/>
      <c r="G317" s="505"/>
      <c r="H317" s="559" t="s">
        <v>33</v>
      </c>
      <c r="I317" s="201">
        <f ca="1">IFERROR(__xludf.DUMMYFUNCTION("IMPORTRANGE(""https://docs.google.com/spreadsheets/d/1eHaY18a8A9IcSdp1K8H6x8fbOy06t2VsZHhMHf-1x7Y/edit?usp=sharing"",""แผน!EI53"")"),0)</f>
        <v>0</v>
      </c>
      <c r="J317" s="201">
        <v>0</v>
      </c>
      <c r="K317" s="502">
        <f ca="1">IF(I317&gt;0,J317*100/I317,0)</f>
        <v>0</v>
      </c>
      <c r="L317" s="501"/>
      <c r="M317" s="501"/>
      <c r="N317" s="501"/>
      <c r="O317" s="501"/>
      <c r="P317" s="501"/>
    </row>
    <row r="318" spans="1:16" ht="19.5" x14ac:dyDescent="0.3">
      <c r="A318" s="386" t="s">
        <v>124</v>
      </c>
      <c r="B318" s="387"/>
      <c r="C318" s="387"/>
      <c r="D318" s="388"/>
      <c r="E318" s="387"/>
      <c r="F318" s="387"/>
      <c r="G318" s="387"/>
      <c r="H318" s="388"/>
      <c r="I318" s="390"/>
      <c r="J318" s="390"/>
      <c r="K318" s="391"/>
      <c r="L318" s="391"/>
      <c r="M318" s="391"/>
      <c r="N318" s="391"/>
      <c r="O318" s="391"/>
      <c r="P318" s="391"/>
    </row>
    <row r="319" spans="1:16" ht="19.5" x14ac:dyDescent="0.3">
      <c r="A319" s="400"/>
      <c r="B319" s="393" t="s">
        <v>125</v>
      </c>
      <c r="C319" s="401"/>
      <c r="D319" s="402"/>
      <c r="E319" s="394"/>
      <c r="F319" s="394"/>
      <c r="G319" s="395"/>
      <c r="H319" s="396" t="s">
        <v>126</v>
      </c>
      <c r="I319" s="397">
        <f ca="1">I330</f>
        <v>1</v>
      </c>
      <c r="J319" s="397">
        <f>J330</f>
        <v>1</v>
      </c>
      <c r="K319" s="398">
        <f ca="1">IF(I319&gt;0,J319*100/I319,0)</f>
        <v>100</v>
      </c>
      <c r="L319" s="399"/>
      <c r="M319" s="399"/>
      <c r="N319" s="399"/>
      <c r="O319" s="399"/>
      <c r="P319" s="399"/>
    </row>
    <row r="320" spans="1:16" ht="19.5" x14ac:dyDescent="0.3">
      <c r="A320" s="157"/>
      <c r="B320" s="53"/>
      <c r="C320" s="158" t="s">
        <v>16</v>
      </c>
      <c r="D320" s="554" t="s">
        <v>17</v>
      </c>
      <c r="E320" s="53"/>
      <c r="F320" s="53"/>
      <c r="G320" s="55"/>
      <c r="H320" s="160" t="s">
        <v>12</v>
      </c>
      <c r="I320" s="57"/>
      <c r="J320" s="57"/>
      <c r="K320" s="58"/>
      <c r="L320" s="161">
        <f ca="1">L321+L322</f>
        <v>20000</v>
      </c>
      <c r="M320" s="161">
        <f ca="1">M321+M322</f>
        <v>20000</v>
      </c>
      <c r="N320" s="161">
        <f ca="1">N321+N322</f>
        <v>1500</v>
      </c>
      <c r="O320" s="161">
        <f t="shared" ref="O320:O328" ca="1" si="42">IF(L320&gt;0,N320*100/L320,0)</f>
        <v>7.5</v>
      </c>
      <c r="P320" s="161">
        <f t="shared" ref="P320:P328" ca="1" si="43">IF(M320&gt;0,N320*100/M320,0)</f>
        <v>7.5</v>
      </c>
    </row>
    <row r="321" spans="1:16" ht="18.75" hidden="1" x14ac:dyDescent="0.25">
      <c r="A321" s="521"/>
      <c r="B321" s="506"/>
      <c r="C321" s="506"/>
      <c r="D321" s="506"/>
      <c r="E321" s="520" t="s">
        <v>18</v>
      </c>
      <c r="F321" s="506"/>
      <c r="G321" s="505"/>
      <c r="H321" s="524" t="s">
        <v>12</v>
      </c>
      <c r="I321" s="199"/>
      <c r="J321" s="199"/>
      <c r="K321" s="501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x14ac:dyDescent="0.25">
      <c r="A322" s="157"/>
      <c r="B322" s="53"/>
      <c r="C322" s="53"/>
      <c r="D322" s="53"/>
      <c r="E322" s="336" t="s">
        <v>19</v>
      </c>
      <c r="F322" s="53"/>
      <c r="G322" s="55"/>
      <c r="H322" s="162" t="s">
        <v>12</v>
      </c>
      <c r="I322" s="57"/>
      <c r="J322" s="57"/>
      <c r="K322" s="58"/>
      <c r="L322" s="61">
        <f t="shared" ca="1" si="44"/>
        <v>20000</v>
      </c>
      <c r="M322" s="61">
        <f t="shared" ca="1" si="44"/>
        <v>20000</v>
      </c>
      <c r="N322" s="61">
        <f t="shared" ca="1" si="44"/>
        <v>1500</v>
      </c>
      <c r="O322" s="61">
        <f t="shared" ca="1" si="42"/>
        <v>7.5</v>
      </c>
      <c r="P322" s="61">
        <f t="shared" ca="1" si="43"/>
        <v>7.5</v>
      </c>
    </row>
    <row r="323" spans="1:16" ht="18.75" x14ac:dyDescent="0.25">
      <c r="A323" s="157"/>
      <c r="B323" s="53"/>
      <c r="C323" s="53"/>
      <c r="D323" s="553" t="s">
        <v>20</v>
      </c>
      <c r="E323" s="53"/>
      <c r="F323" s="53"/>
      <c r="G323" s="55"/>
      <c r="H323" s="163" t="s">
        <v>12</v>
      </c>
      <c r="I323" s="164"/>
      <c r="J323" s="164"/>
      <c r="K323" s="165"/>
      <c r="L323" s="61">
        <f ca="1">L324+L325</f>
        <v>20000</v>
      </c>
      <c r="M323" s="61">
        <f ca="1">M324+M325</f>
        <v>20000</v>
      </c>
      <c r="N323" s="61">
        <f ca="1">N324+N325</f>
        <v>1500</v>
      </c>
      <c r="O323" s="61">
        <f t="shared" ca="1" si="42"/>
        <v>7.5</v>
      </c>
      <c r="P323" s="61">
        <f t="shared" ca="1" si="43"/>
        <v>7.5</v>
      </c>
    </row>
    <row r="324" spans="1:16" ht="18.75" hidden="1" x14ac:dyDescent="0.25">
      <c r="A324" s="521"/>
      <c r="B324" s="506"/>
      <c r="C324" s="506"/>
      <c r="D324" s="506"/>
      <c r="E324" s="520" t="s">
        <v>34</v>
      </c>
      <c r="F324" s="506"/>
      <c r="G324" s="505"/>
      <c r="H324" s="522" t="s">
        <v>12</v>
      </c>
      <c r="I324" s="512"/>
      <c r="J324" s="512"/>
      <c r="K324" s="511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x14ac:dyDescent="0.25">
      <c r="A325" s="157"/>
      <c r="B325" s="53"/>
      <c r="C325" s="53"/>
      <c r="D325" s="53"/>
      <c r="E325" s="336" t="s">
        <v>35</v>
      </c>
      <c r="F325" s="53"/>
      <c r="G325" s="55"/>
      <c r="H325" s="163" t="s">
        <v>12</v>
      </c>
      <c r="I325" s="164"/>
      <c r="J325" s="164"/>
      <c r="K325" s="165"/>
      <c r="L325" s="61">
        <f ca="1">IFERROR(__xludf.DUMMYFUNCTION("IMPORTRANGE(""https://docs.google.com/spreadsheets/d/1-uDff_7J0KD5mKrp0Vvzr7lt3OU09vwQwhkpOPPYv2Y/edit?usp=sharing"",""งบพรบ!EI53"")"),20000)</f>
        <v>20000</v>
      </c>
      <c r="M325" s="61">
        <f ca="1">IFERROR(__xludf.DUMMYFUNCTION("IMPORTRANGE(""https://docs.google.com/spreadsheets/d/1-uDff_7J0KD5mKrp0Vvzr7lt3OU09vwQwhkpOPPYv2Y/edit?usp=sharing"",""งบพรบ!EN53"")"),20000)</f>
        <v>20000</v>
      </c>
      <c r="N325" s="61">
        <f ca="1">IFERROR(__xludf.DUMMYFUNCTION("IMPORTRANGE(""https://docs.google.com/spreadsheets/d/1-uDff_7J0KD5mKrp0Vvzr7lt3OU09vwQwhkpOPPYv2Y/edit?usp=sharing"",""งบพรบ!EP53"")"),1500)</f>
        <v>1500</v>
      </c>
      <c r="O325" s="61">
        <f t="shared" ca="1" si="42"/>
        <v>7.5</v>
      </c>
      <c r="P325" s="61">
        <f t="shared" ca="1" si="43"/>
        <v>7.5</v>
      </c>
    </row>
    <row r="326" spans="1:16" ht="18.75" x14ac:dyDescent="0.25">
      <c r="A326" s="157"/>
      <c r="B326" s="53"/>
      <c r="C326" s="53"/>
      <c r="D326" s="553" t="s">
        <v>21</v>
      </c>
      <c r="E326" s="53"/>
      <c r="F326" s="53"/>
      <c r="G326" s="55"/>
      <c r="H326" s="166" t="s">
        <v>12</v>
      </c>
      <c r="I326" s="164"/>
      <c r="J326" s="164"/>
      <c r="K326" s="165"/>
      <c r="L326" s="61">
        <f ca="1">L327+L328</f>
        <v>0</v>
      </c>
      <c r="M326" s="61">
        <f ca="1">M327+M328</f>
        <v>0</v>
      </c>
      <c r="N326" s="61">
        <f ca="1">N327+N328</f>
        <v>0</v>
      </c>
      <c r="O326" s="61">
        <f t="shared" ca="1" si="42"/>
        <v>0</v>
      </c>
      <c r="P326" s="61">
        <f t="shared" ca="1" si="43"/>
        <v>0</v>
      </c>
    </row>
    <row r="327" spans="1:16" ht="18.75" hidden="1" x14ac:dyDescent="0.25">
      <c r="A327" s="521"/>
      <c r="B327" s="506"/>
      <c r="C327" s="506"/>
      <c r="D327" s="506"/>
      <c r="E327" s="520" t="s">
        <v>18</v>
      </c>
      <c r="F327" s="506"/>
      <c r="G327" s="505"/>
      <c r="H327" s="522" t="s">
        <v>12</v>
      </c>
      <c r="I327" s="512"/>
      <c r="J327" s="512"/>
      <c r="K327" s="511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x14ac:dyDescent="0.25">
      <c r="A328" s="157"/>
      <c r="B328" s="53"/>
      <c r="C328" s="53"/>
      <c r="D328" s="53"/>
      <c r="E328" s="336" t="s">
        <v>19</v>
      </c>
      <c r="F328" s="53"/>
      <c r="G328" s="55"/>
      <c r="H328" s="166" t="s">
        <v>12</v>
      </c>
      <c r="I328" s="164"/>
      <c r="J328" s="164"/>
      <c r="K328" s="165"/>
      <c r="L328" s="61">
        <f ca="1">IFERROR(__xludf.DUMMYFUNCTION("IMPORTRANGE(""https://docs.google.com/spreadsheets/d/1-uDff_7J0KD5mKrp0Vvzr7lt3OU09vwQwhkpOPPYv2Y/edit?usp=sharing"",""งบพรบ!EL53"")"),0)</f>
        <v>0</v>
      </c>
      <c r="M328" s="61">
        <f ca="1">IFERROR(__xludf.DUMMYFUNCTION("IMPORTRANGE(""https://docs.google.com/spreadsheets/d/1-uDff_7J0KD5mKrp0Vvzr7lt3OU09vwQwhkpOPPYv2Y/edit?usp=sharing"",""งบพรบ!EO53"")"),0)</f>
        <v>0</v>
      </c>
      <c r="N328" s="61">
        <f ca="1">IFERROR(__xludf.DUMMYFUNCTION("IMPORTRANGE(""https://docs.google.com/spreadsheets/d/1-uDff_7J0KD5mKrp0Vvzr7lt3OU09vwQwhkpOPPYv2Y/edit?usp=sharing"",""งบพรบ!EQ53"")"),0)</f>
        <v>0</v>
      </c>
      <c r="O328" s="61">
        <f t="shared" ca="1" si="42"/>
        <v>0</v>
      </c>
      <c r="P328" s="61">
        <f t="shared" ca="1" si="43"/>
        <v>0</v>
      </c>
    </row>
    <row r="329" spans="1:16" ht="19.5" x14ac:dyDescent="0.3">
      <c r="A329" s="167"/>
      <c r="B329" s="168"/>
      <c r="C329" s="158" t="s">
        <v>16</v>
      </c>
      <c r="D329" s="551" t="s">
        <v>36</v>
      </c>
      <c r="E329" s="170"/>
      <c r="F329" s="170"/>
      <c r="G329" s="171"/>
      <c r="H329" s="172"/>
      <c r="I329" s="164"/>
      <c r="J329" s="57"/>
      <c r="K329" s="58"/>
      <c r="L329" s="58"/>
      <c r="M329" s="58"/>
      <c r="N329" s="58"/>
      <c r="O329" s="165"/>
      <c r="P329" s="165"/>
    </row>
    <row r="330" spans="1:16" ht="18.75" x14ac:dyDescent="0.25">
      <c r="A330" s="167"/>
      <c r="B330" s="168"/>
      <c r="C330" s="168"/>
      <c r="D330" s="449" t="s">
        <v>127</v>
      </c>
      <c r="E330" s="174"/>
      <c r="F330" s="174"/>
      <c r="G330" s="172"/>
      <c r="H330" s="56" t="s">
        <v>126</v>
      </c>
      <c r="I330" s="196">
        <f ca="1">IFERROR(__xludf.DUMMYFUNCTION("IMPORTRANGE(""https://docs.google.com/spreadsheets/d/1eHaY18a8A9IcSdp1K8H6x8fbOy06t2VsZHhMHf-1x7Y/edit?usp=sharing"",""แผน!EJ53"")"),1)</f>
        <v>1</v>
      </c>
      <c r="J330" s="558">
        <v>1</v>
      </c>
      <c r="K330" s="61">
        <f ca="1">IF(I330&gt;0,J330*100/I330,0)</f>
        <v>100</v>
      </c>
      <c r="L330" s="58"/>
      <c r="M330" s="58"/>
      <c r="N330" s="58"/>
      <c r="O330" s="165"/>
      <c r="P330" s="165"/>
    </row>
    <row r="331" spans="1:16" ht="19.5" x14ac:dyDescent="0.3">
      <c r="A331" s="386" t="s">
        <v>128</v>
      </c>
      <c r="B331" s="387"/>
      <c r="C331" s="387"/>
      <c r="D331" s="388"/>
      <c r="E331" s="387"/>
      <c r="F331" s="387"/>
      <c r="G331" s="387"/>
      <c r="H331" s="388"/>
      <c r="I331" s="390"/>
      <c r="J331" s="390"/>
      <c r="K331" s="391"/>
      <c r="L331" s="391"/>
      <c r="M331" s="391"/>
      <c r="N331" s="391"/>
      <c r="O331" s="391"/>
      <c r="P331" s="391"/>
    </row>
    <row r="332" spans="1:16" ht="19.5" x14ac:dyDescent="0.3">
      <c r="A332" s="392"/>
      <c r="B332" s="393" t="s">
        <v>129</v>
      </c>
      <c r="C332" s="402"/>
      <c r="D332" s="394"/>
      <c r="E332" s="394"/>
      <c r="F332" s="394"/>
      <c r="G332" s="395"/>
      <c r="H332" s="396" t="s">
        <v>33</v>
      </c>
      <c r="I332" s="403">
        <f ca="1">I344</f>
        <v>1060</v>
      </c>
      <c r="J332" s="404">
        <f ca="1">J344+J347+J348+J349+J353</f>
        <v>1703</v>
      </c>
      <c r="K332" s="405">
        <f ca="1">IF(I332&gt;0,J332*100/I332,0)</f>
        <v>160.66037735849056</v>
      </c>
      <c r="L332" s="399"/>
      <c r="M332" s="399"/>
      <c r="N332" s="399"/>
      <c r="O332" s="399"/>
      <c r="P332" s="399"/>
    </row>
    <row r="333" spans="1:16" ht="19.5" x14ac:dyDescent="0.3">
      <c r="A333" s="157"/>
      <c r="B333" s="53"/>
      <c r="C333" s="158" t="s">
        <v>16</v>
      </c>
      <c r="D333" s="554" t="s">
        <v>17</v>
      </c>
      <c r="E333" s="53"/>
      <c r="F333" s="53"/>
      <c r="G333" s="55"/>
      <c r="H333" s="160" t="s">
        <v>12</v>
      </c>
      <c r="I333" s="57"/>
      <c r="J333" s="57"/>
      <c r="K333" s="58"/>
      <c r="L333" s="161">
        <f ca="1">L334+L335</f>
        <v>106000</v>
      </c>
      <c r="M333" s="161">
        <f ca="1">M334+M335</f>
        <v>85750</v>
      </c>
      <c r="N333" s="161">
        <f ca="1">N334+N335</f>
        <v>36745</v>
      </c>
      <c r="O333" s="161">
        <f t="shared" ref="O333:O341" ca="1" si="45">IF(L333&gt;0,N333*100/L333,0)</f>
        <v>34.665094339622641</v>
      </c>
      <c r="P333" s="161">
        <f t="shared" ref="P333:P341" ca="1" si="46">IF(M333&gt;0,N333*100/M333,0)</f>
        <v>42.85131195335277</v>
      </c>
    </row>
    <row r="334" spans="1:16" ht="18.75" hidden="1" x14ac:dyDescent="0.25">
      <c r="A334" s="521"/>
      <c r="B334" s="506"/>
      <c r="C334" s="506"/>
      <c r="D334" s="506"/>
      <c r="E334" s="520" t="s">
        <v>18</v>
      </c>
      <c r="F334" s="506"/>
      <c r="G334" s="505"/>
      <c r="H334" s="524" t="s">
        <v>12</v>
      </c>
      <c r="I334" s="199"/>
      <c r="J334" s="199"/>
      <c r="K334" s="501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157"/>
      <c r="B335" s="53"/>
      <c r="C335" s="53"/>
      <c r="D335" s="53"/>
      <c r="E335" s="336" t="s">
        <v>19</v>
      </c>
      <c r="F335" s="53"/>
      <c r="G335" s="55"/>
      <c r="H335" s="162" t="s">
        <v>12</v>
      </c>
      <c r="I335" s="57"/>
      <c r="J335" s="57"/>
      <c r="K335" s="58"/>
      <c r="L335" s="61">
        <f t="shared" ca="1" si="47"/>
        <v>106000</v>
      </c>
      <c r="M335" s="61">
        <f t="shared" ca="1" si="47"/>
        <v>85750</v>
      </c>
      <c r="N335" s="61">
        <f t="shared" ca="1" si="47"/>
        <v>36745</v>
      </c>
      <c r="O335" s="61">
        <f t="shared" ca="1" si="45"/>
        <v>34.665094339622641</v>
      </c>
      <c r="P335" s="61">
        <f t="shared" ca="1" si="46"/>
        <v>42.85131195335277</v>
      </c>
    </row>
    <row r="336" spans="1:16" ht="18.75" x14ac:dyDescent="0.25">
      <c r="A336" s="157"/>
      <c r="B336" s="53"/>
      <c r="C336" s="53"/>
      <c r="D336" s="553" t="s">
        <v>20</v>
      </c>
      <c r="E336" s="53"/>
      <c r="F336" s="53"/>
      <c r="G336" s="55"/>
      <c r="H336" s="163" t="s">
        <v>12</v>
      </c>
      <c r="I336" s="164"/>
      <c r="J336" s="164"/>
      <c r="K336" s="165"/>
      <c r="L336" s="61">
        <f ca="1">L337+L338</f>
        <v>106000</v>
      </c>
      <c r="M336" s="61">
        <f ca="1">M337+M338</f>
        <v>85750</v>
      </c>
      <c r="N336" s="61">
        <f ca="1">N337+N338</f>
        <v>36745</v>
      </c>
      <c r="O336" s="61">
        <f t="shared" ca="1" si="45"/>
        <v>34.665094339622641</v>
      </c>
      <c r="P336" s="61">
        <f t="shared" ca="1" si="46"/>
        <v>42.85131195335277</v>
      </c>
    </row>
    <row r="337" spans="1:16" ht="18.75" hidden="1" x14ac:dyDescent="0.25">
      <c r="A337" s="521"/>
      <c r="B337" s="506"/>
      <c r="C337" s="506"/>
      <c r="D337" s="506"/>
      <c r="E337" s="520" t="s">
        <v>34</v>
      </c>
      <c r="F337" s="506"/>
      <c r="G337" s="505"/>
      <c r="H337" s="522" t="s">
        <v>12</v>
      </c>
      <c r="I337" s="512"/>
      <c r="J337" s="512"/>
      <c r="K337" s="511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157"/>
      <c r="B338" s="53"/>
      <c r="C338" s="53"/>
      <c r="D338" s="53"/>
      <c r="E338" s="336" t="s">
        <v>35</v>
      </c>
      <c r="F338" s="53"/>
      <c r="G338" s="55"/>
      <c r="H338" s="163" t="s">
        <v>12</v>
      </c>
      <c r="I338" s="164"/>
      <c r="J338" s="164"/>
      <c r="K338" s="165"/>
      <c r="L338" s="61">
        <f ca="1">IFERROR(__xludf.DUMMYFUNCTION("IMPORTRANGE(""https://docs.google.com/spreadsheets/d/1-uDff_7J0KD5mKrp0Vvzr7lt3OU09vwQwhkpOPPYv2Y/edit?usp=sharing"",""งบพรบ!ES53"")"),106000)</f>
        <v>106000</v>
      </c>
      <c r="M338" s="61">
        <f ca="1">IFERROR(__xludf.DUMMYFUNCTION("IMPORTRANGE(""https://docs.google.com/spreadsheets/d/1-uDff_7J0KD5mKrp0Vvzr7lt3OU09vwQwhkpOPPYv2Y/edit?usp=sharing"",""งบพรบ!EX53"")"),85750)</f>
        <v>85750</v>
      </c>
      <c r="N338" s="61">
        <f ca="1">IFERROR(__xludf.DUMMYFUNCTION("IMPORTRANGE(""https://docs.google.com/spreadsheets/d/1-uDff_7J0KD5mKrp0Vvzr7lt3OU09vwQwhkpOPPYv2Y/edit?usp=sharing"",""งบพรบ!EZ53"")"),36745)</f>
        <v>36745</v>
      </c>
      <c r="O338" s="61">
        <f t="shared" ca="1" si="45"/>
        <v>34.665094339622641</v>
      </c>
      <c r="P338" s="61">
        <f t="shared" ca="1" si="46"/>
        <v>42.85131195335277</v>
      </c>
    </row>
    <row r="339" spans="1:16" ht="18.75" x14ac:dyDescent="0.25">
      <c r="A339" s="157"/>
      <c r="B339" s="53"/>
      <c r="C339" s="53"/>
      <c r="D339" s="553" t="s">
        <v>21</v>
      </c>
      <c r="E339" s="53"/>
      <c r="F339" s="53"/>
      <c r="G339" s="55"/>
      <c r="H339" s="166" t="s">
        <v>12</v>
      </c>
      <c r="I339" s="164"/>
      <c r="J339" s="164"/>
      <c r="K339" s="165"/>
      <c r="L339" s="61">
        <f ca="1">L340+L341</f>
        <v>0</v>
      </c>
      <c r="M339" s="61">
        <f ca="1">M340+M341</f>
        <v>0</v>
      </c>
      <c r="N339" s="61">
        <f ca="1">N340+N341</f>
        <v>0</v>
      </c>
      <c r="O339" s="61">
        <f t="shared" ca="1" si="45"/>
        <v>0</v>
      </c>
      <c r="P339" s="61">
        <f t="shared" ca="1" si="46"/>
        <v>0</v>
      </c>
    </row>
    <row r="340" spans="1:16" ht="18.75" hidden="1" x14ac:dyDescent="0.25">
      <c r="A340" s="521"/>
      <c r="B340" s="506"/>
      <c r="C340" s="506"/>
      <c r="D340" s="506"/>
      <c r="E340" s="520" t="s">
        <v>18</v>
      </c>
      <c r="F340" s="506"/>
      <c r="G340" s="505"/>
      <c r="H340" s="522" t="s">
        <v>12</v>
      </c>
      <c r="I340" s="512"/>
      <c r="J340" s="512"/>
      <c r="K340" s="511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157"/>
      <c r="B341" s="53"/>
      <c r="C341" s="53"/>
      <c r="D341" s="53"/>
      <c r="E341" s="336" t="s">
        <v>19</v>
      </c>
      <c r="F341" s="53"/>
      <c r="G341" s="55"/>
      <c r="H341" s="166" t="s">
        <v>12</v>
      </c>
      <c r="I341" s="164"/>
      <c r="J341" s="164"/>
      <c r="K341" s="165"/>
      <c r="L341" s="61">
        <f ca="1">IFERROR(__xludf.DUMMYFUNCTION("IMPORTRANGE(""https://docs.google.com/spreadsheets/d/1-uDff_7J0KD5mKrp0Vvzr7lt3OU09vwQwhkpOPPYv2Y/edit?usp=sharing"",""งบพรบ!EV53"")"),0)</f>
        <v>0</v>
      </c>
      <c r="M341" s="61">
        <f ca="1">IFERROR(__xludf.DUMMYFUNCTION("IMPORTRANGE(""https://docs.google.com/spreadsheets/d/1-uDff_7J0KD5mKrp0Vvzr7lt3OU09vwQwhkpOPPYv2Y/edit?usp=sharing"",""งบพรบ!EY53"")"),0)</f>
        <v>0</v>
      </c>
      <c r="N341" s="61">
        <f ca="1">IFERROR(__xludf.DUMMYFUNCTION("IMPORTRANGE(""https://docs.google.com/spreadsheets/d/1-uDff_7J0KD5mKrp0Vvzr7lt3OU09vwQwhkpOPPYv2Y/edit?usp=sharing"",""งบพรบ!FA53"")"),0)</f>
        <v>0</v>
      </c>
      <c r="O341" s="61">
        <f t="shared" ca="1" si="45"/>
        <v>0</v>
      </c>
      <c r="P341" s="61">
        <f t="shared" ca="1" si="46"/>
        <v>0</v>
      </c>
    </row>
    <row r="342" spans="1:16" ht="19.5" x14ac:dyDescent="0.3">
      <c r="A342" s="167"/>
      <c r="B342" s="168"/>
      <c r="C342" s="158" t="s">
        <v>16</v>
      </c>
      <c r="D342" s="406" t="s">
        <v>36</v>
      </c>
      <c r="E342" s="170"/>
      <c r="F342" s="170"/>
      <c r="G342" s="170"/>
      <c r="H342" s="407"/>
      <c r="I342" s="408"/>
      <c r="J342" s="408"/>
      <c r="K342" s="409"/>
      <c r="L342" s="58"/>
      <c r="M342" s="58"/>
      <c r="N342" s="58"/>
      <c r="O342" s="165"/>
      <c r="P342" s="165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538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IFERROR(__xludf.DUMMYFUNCTION("IMPORTRANGE(""https://docs.google.com/spreadsheets/d/1eHaY18a8A9IcSdp1K8H6x8fbOy06t2VsZHhMHf-1x7Y/edit?usp=sharing"",""แผน!EK53"")"),1060)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IFERROR(__xludf.DUMMYFUNCTION("IMPORTRANGE(""https://docs.google.com/spreadsheets/d/1awYsYK3VOup2i3Pq_Yjnu8DRu_mYwSBnCR2QPthd0rU/edit?usp=sharing"",""ศูนย์ยกเว้นโฉนด!D53"")"),465)</f>
        <v>465</v>
      </c>
      <c r="K344" s="427">
        <f ca="1">IF(I344&gt;0,J344*100/I344,0)</f>
        <v>43.867924528301884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IFERROR(__xludf.DUMMYFUNCTION("IMPORTRANGE(""https://docs.google.com/spreadsheets/d/1eHaY18a8A9IcSdp1K8H6x8fbOy06t2VsZHhMHf-1x7Y/edit?usp=sharing"",""แผน!EL53"")"),3)</f>
        <v>3</v>
      </c>
      <c r="J346" s="426">
        <f ca="1">IFERROR(__xludf.DUMMYFUNCTION("IMPORTRANGE(""https://docs.google.com/spreadsheets/d/1awYsYK3VOup2i3Pq_Yjnu8DRu_mYwSBnCR2QPthd0rU/edit?usp=sharing"",""ศูนย์รวม!E53"")"),0)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IFERROR(__xludf.DUMMYFUNCTION("IMPORTRANGE(""https://docs.google.com/spreadsheets/d/1awYsYK3VOup2i3Pq_Yjnu8DRu_mYwSBnCR2QPthd0rU/edit?usp=sharing"",""ศูนย์ยกเว้นโฉนด!G53"")"),13)</f>
        <v>13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1239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IFERROR(__xludf.DUMMYFUNCTION("IMPORTRANGE(""https://docs.google.com/spreadsheets/d/1awYsYK3VOup2i3Pq_Yjnu8DRu_mYwSBnCR2QPthd0rU/edit?usp=sharing"",""โฉนดM3!G53"")"),74)</f>
        <v>74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IFERROR(__xludf.DUMMYFUNCTION("IMPORTRANGE(""https://docs.google.com/spreadsheets/d/1awYsYK3VOup2i3Pq_Yjnu8DRu_mYwSBnCR2QPthd0rU/edit?usp=sharing"",""โฉนดM3!H53"")"),1165)</f>
        <v>1165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392"/>
      <c r="B355" s="393" t="s">
        <v>141</v>
      </c>
      <c r="C355" s="402"/>
      <c r="D355" s="394"/>
      <c r="E355" s="394"/>
      <c r="F355" s="394"/>
      <c r="G355" s="395"/>
      <c r="H355" s="395"/>
      <c r="I355" s="443"/>
      <c r="J355" s="443"/>
      <c r="K355" s="399"/>
      <c r="L355" s="399"/>
      <c r="M355" s="399"/>
      <c r="N355" s="399"/>
      <c r="O355" s="399"/>
      <c r="P355" s="399"/>
    </row>
    <row r="356" spans="1:16" ht="19.5" x14ac:dyDescent="0.3">
      <c r="A356" s="157"/>
      <c r="B356" s="53"/>
      <c r="C356" s="158" t="s">
        <v>16</v>
      </c>
      <c r="D356" s="554" t="s">
        <v>17</v>
      </c>
      <c r="E356" s="53"/>
      <c r="F356" s="53"/>
      <c r="G356" s="55"/>
      <c r="H356" s="160" t="s">
        <v>12</v>
      </c>
      <c r="I356" s="57"/>
      <c r="J356" s="57"/>
      <c r="K356" s="58"/>
      <c r="L356" s="161">
        <f ca="1">L357+L358</f>
        <v>756670</v>
      </c>
      <c r="M356" s="161">
        <f ca="1">M357+M358</f>
        <v>634245</v>
      </c>
      <c r="N356" s="161">
        <f ca="1">N357+N358</f>
        <v>88363</v>
      </c>
      <c r="O356" s="161">
        <f t="shared" ref="O356:O364" ca="1" si="48">IF(L356&gt;0,N356*100/L356,0)</f>
        <v>11.677878071021713</v>
      </c>
      <c r="P356" s="161">
        <f t="shared" ref="P356:P364" ca="1" si="49">IF(M356&gt;0,N356*100/M356,0)</f>
        <v>13.931997887251772</v>
      </c>
    </row>
    <row r="357" spans="1:16" ht="18.75" hidden="1" x14ac:dyDescent="0.25">
      <c r="A357" s="521"/>
      <c r="B357" s="506"/>
      <c r="C357" s="506"/>
      <c r="D357" s="506"/>
      <c r="E357" s="520" t="s">
        <v>18</v>
      </c>
      <c r="F357" s="506"/>
      <c r="G357" s="505"/>
      <c r="H357" s="524" t="s">
        <v>12</v>
      </c>
      <c r="I357" s="199"/>
      <c r="J357" s="199"/>
      <c r="K357" s="501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157"/>
      <c r="B358" s="53"/>
      <c r="C358" s="53"/>
      <c r="D358" s="53"/>
      <c r="E358" s="336" t="s">
        <v>19</v>
      </c>
      <c r="F358" s="53"/>
      <c r="G358" s="55"/>
      <c r="H358" s="162" t="s">
        <v>12</v>
      </c>
      <c r="I358" s="57"/>
      <c r="J358" s="57"/>
      <c r="K358" s="58"/>
      <c r="L358" s="61">
        <f t="shared" ca="1" si="50"/>
        <v>756670</v>
      </c>
      <c r="M358" s="61">
        <f t="shared" ca="1" si="50"/>
        <v>634245</v>
      </c>
      <c r="N358" s="61">
        <f t="shared" ca="1" si="50"/>
        <v>88363</v>
      </c>
      <c r="O358" s="61">
        <f t="shared" ca="1" si="48"/>
        <v>11.677878071021713</v>
      </c>
      <c r="P358" s="61">
        <f t="shared" ca="1" si="49"/>
        <v>13.931997887251772</v>
      </c>
    </row>
    <row r="359" spans="1:16" ht="18.75" x14ac:dyDescent="0.25">
      <c r="A359" s="157"/>
      <c r="B359" s="53"/>
      <c r="C359" s="53"/>
      <c r="D359" s="553" t="s">
        <v>20</v>
      </c>
      <c r="E359" s="53"/>
      <c r="F359" s="53"/>
      <c r="G359" s="55"/>
      <c r="H359" s="163" t="s">
        <v>12</v>
      </c>
      <c r="I359" s="164"/>
      <c r="J359" s="164"/>
      <c r="K359" s="165"/>
      <c r="L359" s="61">
        <f ca="1">L360+L361</f>
        <v>756670</v>
      </c>
      <c r="M359" s="61">
        <f ca="1">M360+M361</f>
        <v>634245</v>
      </c>
      <c r="N359" s="61">
        <f ca="1">N360+N361</f>
        <v>88363</v>
      </c>
      <c r="O359" s="61">
        <f t="shared" ca="1" si="48"/>
        <v>11.677878071021713</v>
      </c>
      <c r="P359" s="61">
        <f t="shared" ca="1" si="49"/>
        <v>13.931997887251772</v>
      </c>
    </row>
    <row r="360" spans="1:16" ht="18.75" hidden="1" x14ac:dyDescent="0.25">
      <c r="A360" s="521"/>
      <c r="B360" s="506"/>
      <c r="C360" s="506"/>
      <c r="D360" s="506"/>
      <c r="E360" s="520" t="s">
        <v>34</v>
      </c>
      <c r="F360" s="506"/>
      <c r="G360" s="505"/>
      <c r="H360" s="522" t="s">
        <v>12</v>
      </c>
      <c r="I360" s="512"/>
      <c r="J360" s="512"/>
      <c r="K360" s="511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157"/>
      <c r="B361" s="53"/>
      <c r="C361" s="53"/>
      <c r="D361" s="53"/>
      <c r="E361" s="336" t="s">
        <v>35</v>
      </c>
      <c r="F361" s="53"/>
      <c r="G361" s="55"/>
      <c r="H361" s="163" t="s">
        <v>12</v>
      </c>
      <c r="I361" s="164"/>
      <c r="J361" s="164"/>
      <c r="K361" s="165"/>
      <c r="L361" s="61">
        <f ca="1">IFERROR(__xludf.DUMMYFUNCTION("IMPORTRANGE(""https://docs.google.com/spreadsheets/d/1-uDff_7J0KD5mKrp0Vvzr7lt3OU09vwQwhkpOPPYv2Y/edit?usp=sharing"",""งบพรบ!FC53"")"),756670)</f>
        <v>756670</v>
      </c>
      <c r="M361" s="61">
        <f ca="1">IFERROR(__xludf.DUMMYFUNCTION("IMPORTRANGE(""https://docs.google.com/spreadsheets/d/1-uDff_7J0KD5mKrp0Vvzr7lt3OU09vwQwhkpOPPYv2Y/edit?usp=sharing"",""งบพรบ!FH53"")"),634245)</f>
        <v>634245</v>
      </c>
      <c r="N361" s="61">
        <f ca="1">IFERROR(__xludf.DUMMYFUNCTION("IMPORTRANGE(""https://docs.google.com/spreadsheets/d/1-uDff_7J0KD5mKrp0Vvzr7lt3OU09vwQwhkpOPPYv2Y/edit?usp=sharing"",""งบพรบ!FJ53"")"),88363)</f>
        <v>88363</v>
      </c>
      <c r="O361" s="61">
        <f t="shared" ca="1" si="48"/>
        <v>11.677878071021713</v>
      </c>
      <c r="P361" s="61">
        <f t="shared" ca="1" si="49"/>
        <v>13.931997887251772</v>
      </c>
    </row>
    <row r="362" spans="1:16" ht="18.75" x14ac:dyDescent="0.25">
      <c r="A362" s="157"/>
      <c r="B362" s="53"/>
      <c r="C362" s="53"/>
      <c r="D362" s="553" t="s">
        <v>21</v>
      </c>
      <c r="E362" s="53"/>
      <c r="F362" s="53"/>
      <c r="G362" s="55"/>
      <c r="H362" s="166" t="s">
        <v>12</v>
      </c>
      <c r="I362" s="164"/>
      <c r="J362" s="164"/>
      <c r="K362" s="165"/>
      <c r="L362" s="61">
        <f ca="1">L363+L364</f>
        <v>0</v>
      </c>
      <c r="M362" s="61">
        <f ca="1">M363+M364</f>
        <v>0</v>
      </c>
      <c r="N362" s="61">
        <f ca="1">N363+N364</f>
        <v>0</v>
      </c>
      <c r="O362" s="61">
        <f t="shared" ca="1" si="48"/>
        <v>0</v>
      </c>
      <c r="P362" s="61">
        <f t="shared" ca="1" si="49"/>
        <v>0</v>
      </c>
    </row>
    <row r="363" spans="1:16" ht="18.75" hidden="1" x14ac:dyDescent="0.25">
      <c r="A363" s="521"/>
      <c r="B363" s="506"/>
      <c r="C363" s="506"/>
      <c r="D363" s="506"/>
      <c r="E363" s="520" t="s">
        <v>18</v>
      </c>
      <c r="F363" s="506"/>
      <c r="G363" s="505"/>
      <c r="H363" s="522" t="s">
        <v>12</v>
      </c>
      <c r="I363" s="512"/>
      <c r="J363" s="512"/>
      <c r="K363" s="511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157"/>
      <c r="B364" s="53"/>
      <c r="C364" s="53"/>
      <c r="D364" s="53"/>
      <c r="E364" s="336" t="s">
        <v>19</v>
      </c>
      <c r="F364" s="53"/>
      <c r="G364" s="55"/>
      <c r="H364" s="166" t="s">
        <v>12</v>
      </c>
      <c r="I364" s="164"/>
      <c r="J364" s="164"/>
      <c r="K364" s="165"/>
      <c r="L364" s="61">
        <f ca="1">IFERROR(__xludf.DUMMYFUNCTION("IMPORTRANGE(""https://docs.google.com/spreadsheets/d/1-uDff_7J0KD5mKrp0Vvzr7lt3OU09vwQwhkpOPPYv2Y/edit?usp=sharing"",""งบพรบ!FF53"")"),0)</f>
        <v>0</v>
      </c>
      <c r="M364" s="61">
        <f ca="1">IFERROR(__xludf.DUMMYFUNCTION("IMPORTRANGE(""https://docs.google.com/spreadsheets/d/1-uDff_7J0KD5mKrp0Vvzr7lt3OU09vwQwhkpOPPYv2Y/edit?usp=sharing"",""งบพรบ!FI53"")"),0)</f>
        <v>0</v>
      </c>
      <c r="N364" s="61">
        <f ca="1">IFERROR(__xludf.DUMMYFUNCTION("IMPORTRANGE(""https://docs.google.com/spreadsheets/d/1-uDff_7J0KD5mKrp0Vvzr7lt3OU09vwQwhkpOPPYv2Y/edit?usp=sharing"",""งบพรบ!FK53"")"),0)</f>
        <v>0</v>
      </c>
      <c r="O364" s="61">
        <f t="shared" ca="1" si="48"/>
        <v>0</v>
      </c>
      <c r="P364" s="61">
        <f t="shared" ca="1" si="49"/>
        <v>0</v>
      </c>
    </row>
    <row r="365" spans="1:16" ht="19.5" x14ac:dyDescent="0.3">
      <c r="A365" s="281"/>
      <c r="B365" s="282"/>
      <c r="C365" s="284"/>
      <c r="D365" s="552" t="s">
        <v>142</v>
      </c>
      <c r="E365" s="284"/>
      <c r="F365" s="284"/>
      <c r="G365" s="285"/>
      <c r="H365" s="445" t="s">
        <v>33</v>
      </c>
      <c r="I365" s="447">
        <f ca="1">I371</f>
        <v>138</v>
      </c>
      <c r="J365" s="447">
        <f ca="1">J371</f>
        <v>9</v>
      </c>
      <c r="K365" s="448">
        <f ca="1">IF(I365&gt;0,J365*100/I365,0)</f>
        <v>6.5217391304347823</v>
      </c>
      <c r="L365" s="289"/>
      <c r="M365" s="289"/>
      <c r="N365" s="289"/>
      <c r="O365" s="289"/>
      <c r="P365" s="289"/>
    </row>
    <row r="366" spans="1:16" ht="19.5" x14ac:dyDescent="0.3">
      <c r="A366" s="167"/>
      <c r="B366" s="168"/>
      <c r="C366" s="158" t="s">
        <v>16</v>
      </c>
      <c r="D366" s="551" t="s">
        <v>36</v>
      </c>
      <c r="E366" s="170"/>
      <c r="F366" s="170"/>
      <c r="G366" s="171"/>
      <c r="H366" s="172"/>
      <c r="I366" s="57"/>
      <c r="J366" s="57"/>
      <c r="K366" s="58"/>
      <c r="L366" s="165"/>
      <c r="M366" s="165"/>
      <c r="N366" s="165"/>
      <c r="O366" s="165"/>
      <c r="P366" s="165"/>
    </row>
    <row r="367" spans="1:16" ht="18.75" x14ac:dyDescent="0.25">
      <c r="A367" s="167"/>
      <c r="B367" s="174"/>
      <c r="C367" s="168"/>
      <c r="D367" s="174"/>
      <c r="E367" s="449" t="s">
        <v>143</v>
      </c>
      <c r="F367" s="174"/>
      <c r="G367" s="172"/>
      <c r="H367" s="185" t="s">
        <v>33</v>
      </c>
      <c r="I367" s="196">
        <v>0</v>
      </c>
      <c r="J367" s="196">
        <f ca="1">IFERROR(__xludf.DUMMYFUNCTION("IMPORTRANGE(""https://docs.google.com/spreadsheets/d/1tdoBKaGub7dwA3U6UFTqxio9LNnvDCQjHKmttSEBsFQ/edit?usp=sharing"",""จัดที่ดิน!AB53"")"),36)</f>
        <v>36</v>
      </c>
      <c r="K367" s="61">
        <f t="shared" ref="K367:K372" si="51">IF(I367&gt;0,J367*100/I367,0)</f>
        <v>0</v>
      </c>
      <c r="L367" s="165"/>
      <c r="M367" s="165"/>
      <c r="N367" s="165"/>
      <c r="O367" s="165"/>
      <c r="P367" s="165"/>
    </row>
    <row r="368" spans="1:16" ht="18.75" x14ac:dyDescent="0.25">
      <c r="A368" s="167"/>
      <c r="B368" s="174"/>
      <c r="C368" s="168"/>
      <c r="D368" s="174"/>
      <c r="E368" s="174"/>
      <c r="F368" s="174"/>
      <c r="G368" s="172"/>
      <c r="H368" s="185" t="s">
        <v>44</v>
      </c>
      <c r="I368" s="196">
        <f ca="1">IFERROR(__xludf.DUMMYFUNCTION("IMPORTRANGE(""https://docs.google.com/spreadsheets/d/1eHaY18a8A9IcSdp1K8H6x8fbOy06t2VsZHhMHf-1x7Y/edit?usp=sharing"",""แผน!EW53"")"),1350)</f>
        <v>1350</v>
      </c>
      <c r="J368" s="550">
        <f ca="1">IFERROR(__xludf.DUMMYFUNCTION("IMPORTRANGE(""https://docs.google.com/spreadsheets/d/1tdoBKaGub7dwA3U6UFTqxio9LNnvDCQjHKmttSEBsFQ/edit?usp=sharing"",""จัดที่ดิน!AC53"")"),426.92)</f>
        <v>426.92</v>
      </c>
      <c r="K368" s="61">
        <f t="shared" ca="1" si="51"/>
        <v>31.623703703703704</v>
      </c>
      <c r="L368" s="165"/>
      <c r="M368" s="165"/>
      <c r="N368" s="165"/>
      <c r="O368" s="165"/>
      <c r="P368" s="165"/>
    </row>
    <row r="369" spans="1:16" ht="18.75" x14ac:dyDescent="0.25">
      <c r="A369" s="167"/>
      <c r="B369" s="174"/>
      <c r="C369" s="168"/>
      <c r="D369" s="174"/>
      <c r="E369" s="449" t="s">
        <v>144</v>
      </c>
      <c r="F369" s="174"/>
      <c r="G369" s="172"/>
      <c r="H369" s="297" t="s">
        <v>33</v>
      </c>
      <c r="I369" s="196">
        <f ca="1">IFERROR(__xludf.DUMMYFUNCTION("IMPORTRANGE(""https://docs.google.com/spreadsheets/d/1eHaY18a8A9IcSdp1K8H6x8fbOy06t2VsZHhMHf-1x7Y/edit?usp=sharing"",""แผน!EX53"")"),210)</f>
        <v>210</v>
      </c>
      <c r="J369" s="196">
        <f ca="1">IFERROR(__xludf.DUMMYFUNCTION("IMPORTRANGE(""https://docs.google.com/spreadsheets/d/1tdoBKaGub7dwA3U6UFTqxio9LNnvDCQjHKmttSEBsFQ/edit?usp=sharing"",""จัดที่ดิน!AD53"")"),11)</f>
        <v>11</v>
      </c>
      <c r="K369" s="61">
        <f t="shared" ca="1" si="51"/>
        <v>5.2380952380952381</v>
      </c>
      <c r="L369" s="165"/>
      <c r="M369" s="165"/>
      <c r="N369" s="165"/>
      <c r="O369" s="165"/>
      <c r="P369" s="165"/>
    </row>
    <row r="370" spans="1:16" ht="18.75" x14ac:dyDescent="0.25">
      <c r="A370" s="167"/>
      <c r="B370" s="174"/>
      <c r="C370" s="168"/>
      <c r="D370" s="174"/>
      <c r="E370" s="174"/>
      <c r="F370" s="174"/>
      <c r="G370" s="172"/>
      <c r="H370" s="297" t="s">
        <v>44</v>
      </c>
      <c r="I370" s="196">
        <v>0</v>
      </c>
      <c r="J370" s="550">
        <f ca="1">IFERROR(__xludf.DUMMYFUNCTION("IMPORTRANGE(""https://docs.google.com/spreadsheets/d/1tdoBKaGub7dwA3U6UFTqxio9LNnvDCQjHKmttSEBsFQ/edit?usp=sharing"",""จัดที่ดิน!AE53"")"),188.899999999999)</f>
        <v>188.89999999999901</v>
      </c>
      <c r="K370" s="61">
        <f t="shared" si="51"/>
        <v>0</v>
      </c>
      <c r="L370" s="165"/>
      <c r="M370" s="165"/>
      <c r="N370" s="165"/>
      <c r="O370" s="165"/>
      <c r="P370" s="165"/>
    </row>
    <row r="371" spans="1:16" ht="18.75" x14ac:dyDescent="0.25">
      <c r="A371" s="167"/>
      <c r="B371" s="174"/>
      <c r="C371" s="168"/>
      <c r="D371" s="174"/>
      <c r="E371" s="449" t="s">
        <v>145</v>
      </c>
      <c r="F371" s="174"/>
      <c r="G371" s="172"/>
      <c r="H371" s="297" t="s">
        <v>33</v>
      </c>
      <c r="I371" s="196">
        <f ca="1">IFERROR(__xludf.DUMMYFUNCTION("IMPORTRANGE(""https://docs.google.com/spreadsheets/d/1eHaY18a8A9IcSdp1K8H6x8fbOy06t2VsZHhMHf-1x7Y/edit?usp=sharing"",""แผน!EY53"")"),138)</f>
        <v>138</v>
      </c>
      <c r="J371" s="196">
        <f ca="1">IFERROR(__xludf.DUMMYFUNCTION("IMPORTRANGE(""https://docs.google.com/spreadsheets/d/1tdoBKaGub7dwA3U6UFTqxio9LNnvDCQjHKmttSEBsFQ/edit?usp=sharing"",""จัดที่ดิน!AF53"")"),9)</f>
        <v>9</v>
      </c>
      <c r="K371" s="61">
        <f t="shared" ca="1" si="51"/>
        <v>6.5217391304347823</v>
      </c>
      <c r="L371" s="165"/>
      <c r="M371" s="165"/>
      <c r="N371" s="165"/>
      <c r="O371" s="165"/>
      <c r="P371" s="165"/>
    </row>
    <row r="372" spans="1:16" ht="18.75" x14ac:dyDescent="0.25">
      <c r="A372" s="450"/>
      <c r="B372" s="343"/>
      <c r="C372" s="341"/>
      <c r="D372" s="343"/>
      <c r="E372" s="343"/>
      <c r="F372" s="343"/>
      <c r="G372" s="344"/>
      <c r="H372" s="451" t="s">
        <v>44</v>
      </c>
      <c r="I372" s="345">
        <v>0</v>
      </c>
      <c r="J372" s="549">
        <f ca="1">IFERROR(__xludf.DUMMYFUNCTION("IMPORTRANGE(""https://docs.google.com/spreadsheets/d/1tdoBKaGub7dwA3U6UFTqxio9LNnvDCQjHKmttSEBsFQ/edit?usp=sharing"",""จัดที่ดิน!AG53"")"),185.75)</f>
        <v>185.75</v>
      </c>
      <c r="K372" s="139">
        <f t="shared" si="51"/>
        <v>0</v>
      </c>
      <c r="L372" s="347"/>
      <c r="M372" s="347"/>
      <c r="N372" s="347"/>
      <c r="O372" s="347"/>
      <c r="P372" s="347"/>
    </row>
    <row r="373" spans="1:16" ht="19.5" x14ac:dyDescent="0.3">
      <c r="A373" s="452"/>
      <c r="B373" s="453"/>
      <c r="C373" s="454"/>
      <c r="D373" s="4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456"/>
      <c r="F373" s="456"/>
      <c r="G373" s="456"/>
      <c r="H373" s="457"/>
      <c r="I373" s="458"/>
      <c r="J373" s="458"/>
      <c r="K373" s="459"/>
      <c r="L373" s="459"/>
      <c r="M373" s="459"/>
      <c r="N373" s="459"/>
      <c r="O373" s="459"/>
      <c r="P373" s="459"/>
    </row>
    <row r="374" spans="1:16" ht="19.5" hidden="1" x14ac:dyDescent="0.3">
      <c r="A374" s="548" t="s">
        <v>146</v>
      </c>
      <c r="B374" s="547"/>
      <c r="C374" s="547"/>
      <c r="D374" s="547"/>
      <c r="E374" s="546"/>
      <c r="F374" s="546"/>
      <c r="G374" s="546"/>
      <c r="H374" s="546"/>
      <c r="I374" s="545"/>
      <c r="J374" s="545"/>
      <c r="K374" s="544"/>
      <c r="L374" s="544"/>
      <c r="M374" s="544"/>
      <c r="N374" s="544"/>
      <c r="O374" s="544"/>
      <c r="P374" s="543"/>
    </row>
    <row r="375" spans="1:16" ht="19.5" hidden="1" x14ac:dyDescent="0.3">
      <c r="A375" s="542" t="s">
        <v>147</v>
      </c>
      <c r="B375" s="540"/>
      <c r="C375" s="540"/>
      <c r="D375" s="541"/>
      <c r="E375" s="540"/>
      <c r="F375" s="540"/>
      <c r="G375" s="540"/>
      <c r="H375" s="539"/>
      <c r="I375" s="538"/>
      <c r="J375" s="538"/>
      <c r="K375" s="537"/>
      <c r="L375" s="537"/>
      <c r="M375" s="537"/>
      <c r="N375" s="537"/>
      <c r="O375" s="537"/>
      <c r="P375" s="537"/>
    </row>
    <row r="376" spans="1:16" ht="19.5" hidden="1" x14ac:dyDescent="0.3">
      <c r="A376" s="536"/>
      <c r="B376" s="535" t="s">
        <v>148</v>
      </c>
      <c r="C376" s="534"/>
      <c r="D376" s="533"/>
      <c r="E376" s="533"/>
      <c r="F376" s="533"/>
      <c r="G376" s="532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528"/>
      <c r="M376" s="528"/>
      <c r="N376" s="528"/>
      <c r="O376" s="528"/>
      <c r="P376" s="528"/>
    </row>
    <row r="377" spans="1:16" ht="19.5" hidden="1" x14ac:dyDescent="0.3">
      <c r="A377" s="521"/>
      <c r="B377" s="506"/>
      <c r="C377" s="517" t="s">
        <v>16</v>
      </c>
      <c r="D377" s="527" t="s">
        <v>17</v>
      </c>
      <c r="E377" s="506"/>
      <c r="F377" s="506"/>
      <c r="G377" s="505"/>
      <c r="H377" s="526" t="s">
        <v>12</v>
      </c>
      <c r="I377" s="199"/>
      <c r="J377" s="199"/>
      <c r="K377" s="501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521"/>
      <c r="B378" s="506"/>
      <c r="C378" s="506"/>
      <c r="D378" s="506"/>
      <c r="E378" s="520" t="s">
        <v>18</v>
      </c>
      <c r="F378" s="506"/>
      <c r="G378" s="505"/>
      <c r="H378" s="524" t="s">
        <v>12</v>
      </c>
      <c r="I378" s="199"/>
      <c r="J378" s="199"/>
      <c r="K378" s="501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521"/>
      <c r="B379" s="506"/>
      <c r="C379" s="506"/>
      <c r="D379" s="506"/>
      <c r="E379" s="520" t="s">
        <v>19</v>
      </c>
      <c r="F379" s="506"/>
      <c r="G379" s="505"/>
      <c r="H379" s="524" t="s">
        <v>12</v>
      </c>
      <c r="I379" s="199"/>
      <c r="J379" s="199"/>
      <c r="K379" s="501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521"/>
      <c r="B380" s="506"/>
      <c r="C380" s="506"/>
      <c r="D380" s="523" t="s">
        <v>20</v>
      </c>
      <c r="E380" s="506"/>
      <c r="F380" s="506"/>
      <c r="G380" s="505"/>
      <c r="H380" s="522" t="s">
        <v>12</v>
      </c>
      <c r="I380" s="512"/>
      <c r="J380" s="512"/>
      <c r="K380" s="511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521"/>
      <c r="B381" s="506"/>
      <c r="C381" s="506"/>
      <c r="D381" s="506"/>
      <c r="E381" s="520" t="s">
        <v>34</v>
      </c>
      <c r="F381" s="506"/>
      <c r="G381" s="505"/>
      <c r="H381" s="522" t="s">
        <v>12</v>
      </c>
      <c r="I381" s="512"/>
      <c r="J381" s="512"/>
      <c r="K381" s="511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521"/>
      <c r="B382" s="506"/>
      <c r="C382" s="506"/>
      <c r="D382" s="506"/>
      <c r="E382" s="520" t="s">
        <v>35</v>
      </c>
      <c r="F382" s="506"/>
      <c r="G382" s="505"/>
      <c r="H382" s="522" t="s">
        <v>12</v>
      </c>
      <c r="I382" s="512"/>
      <c r="J382" s="512"/>
      <c r="K382" s="511"/>
      <c r="L382" s="502">
        <f ca="1">IFERROR(__xludf.DUMMYFUNCTION("IMPORTRANGE(""https://docs.google.com/spreadsheets/d/1-uDff_7J0KD5mKrp0Vvzr7lt3OU09vwQwhkpOPPYv2Y/edit?usp=sharing"",""งบพรบ!FM53"")"),0)</f>
        <v>0</v>
      </c>
      <c r="M382" s="502">
        <f ca="1">IFERROR(__xludf.DUMMYFUNCTION("IMPORTRANGE(""https://docs.google.com/spreadsheets/d/1-uDff_7J0KD5mKrp0Vvzr7lt3OU09vwQwhkpOPPYv2Y/edit?usp=sharing"",""งบพรบ!FR53"")"),0)</f>
        <v>0</v>
      </c>
      <c r="N382" s="502">
        <f ca="1">IFERROR(__xludf.DUMMYFUNCTION("IMPORTRANGE(""https://docs.google.com/spreadsheets/d/1-uDff_7J0KD5mKrp0Vvzr7lt3OU09vwQwhkpOPPYv2Y/edit?usp=sharing"",""งบพรบ!FT53"")"),0)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521"/>
      <c r="B383" s="506"/>
      <c r="C383" s="506"/>
      <c r="D383" s="523" t="s">
        <v>21</v>
      </c>
      <c r="E383" s="506"/>
      <c r="F383" s="506"/>
      <c r="G383" s="505"/>
      <c r="H383" s="519" t="s">
        <v>12</v>
      </c>
      <c r="I383" s="512"/>
      <c r="J383" s="512"/>
      <c r="K383" s="511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521"/>
      <c r="B384" s="506"/>
      <c r="C384" s="506"/>
      <c r="D384" s="506"/>
      <c r="E384" s="520" t="s">
        <v>18</v>
      </c>
      <c r="F384" s="506"/>
      <c r="G384" s="505"/>
      <c r="H384" s="522" t="s">
        <v>12</v>
      </c>
      <c r="I384" s="512"/>
      <c r="J384" s="512"/>
      <c r="K384" s="511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521"/>
      <c r="B385" s="506"/>
      <c r="C385" s="506"/>
      <c r="D385" s="506"/>
      <c r="E385" s="520" t="s">
        <v>19</v>
      </c>
      <c r="F385" s="506"/>
      <c r="G385" s="505"/>
      <c r="H385" s="519" t="s">
        <v>12</v>
      </c>
      <c r="I385" s="512"/>
      <c r="J385" s="512"/>
      <c r="K385" s="511"/>
      <c r="L385" s="502">
        <f ca="1">IFERROR(__xludf.DUMMYFUNCTION("IMPORTRANGE(""https://docs.google.com/spreadsheets/d/1-uDff_7J0KD5mKrp0Vvzr7lt3OU09vwQwhkpOPPYv2Y/edit?usp=sharing"",""งบพรบ!FP53"")"),0)</f>
        <v>0</v>
      </c>
      <c r="M385" s="502">
        <f ca="1">IFERROR(__xludf.DUMMYFUNCTION("IMPORTRANGE(""https://docs.google.com/spreadsheets/d/1-uDff_7J0KD5mKrp0Vvzr7lt3OU09vwQwhkpOPPYv2Y/edit?usp=sharing"",""งบพรบ!FS53"")"),0)</f>
        <v>0</v>
      </c>
      <c r="N385" s="502">
        <f ca="1">IFERROR(__xludf.DUMMYFUNCTION("IMPORTRANGE(""https://docs.google.com/spreadsheets/d/1-uDff_7J0KD5mKrp0Vvzr7lt3OU09vwQwhkpOPPYv2Y/edit?usp=sharing"",""งบพรบ!FU53"")"),0)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518"/>
      <c r="B386" s="507"/>
      <c r="C386" s="517" t="s">
        <v>16</v>
      </c>
      <c r="D386" s="516" t="s">
        <v>36</v>
      </c>
      <c r="E386" s="515"/>
      <c r="F386" s="515"/>
      <c r="G386" s="514"/>
      <c r="H386" s="513"/>
      <c r="I386" s="512"/>
      <c r="J386" s="199"/>
      <c r="K386" s="501"/>
      <c r="L386" s="501"/>
      <c r="M386" s="501"/>
      <c r="N386" s="501"/>
      <c r="O386" s="511"/>
      <c r="P386" s="511"/>
    </row>
    <row r="387" spans="1:16" ht="18.75" hidden="1" x14ac:dyDescent="0.25">
      <c r="A387" s="510"/>
      <c r="B387" s="506"/>
      <c r="C387" s="509"/>
      <c r="D387" s="508" t="s">
        <v>149</v>
      </c>
      <c r="E387" s="507"/>
      <c r="F387" s="506"/>
      <c r="G387" s="505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501"/>
      <c r="M387" s="501"/>
      <c r="N387" s="501"/>
      <c r="O387" s="501"/>
      <c r="P387" s="501"/>
    </row>
    <row r="388" spans="1:16" ht="18.75" hidden="1" x14ac:dyDescent="0.25">
      <c r="A388" s="500"/>
      <c r="B388" s="496"/>
      <c r="C388" s="499"/>
      <c r="D388" s="498" t="s">
        <v>150</v>
      </c>
      <c r="E388" s="497"/>
      <c r="F388" s="496"/>
      <c r="G388" s="495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490"/>
      <c r="M388" s="490"/>
      <c r="N388" s="490"/>
      <c r="O388" s="490"/>
      <c r="P388" s="490"/>
    </row>
    <row r="389" spans="1:16" ht="12.75" x14ac:dyDescent="0.2">
      <c r="A389" s="487"/>
      <c r="B389" s="487"/>
      <c r="C389" s="487"/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7"/>
      <c r="P389" s="487"/>
    </row>
    <row r="390" spans="1:16" ht="16.5" x14ac:dyDescent="0.25">
      <c r="A390" s="488" t="s">
        <v>151</v>
      </c>
      <c r="B390" s="487"/>
      <c r="C390" s="487"/>
      <c r="D390" s="487"/>
      <c r="E390" s="487"/>
      <c r="F390" s="487"/>
      <c r="G390" s="487"/>
      <c r="H390" s="487"/>
      <c r="I390" s="487"/>
      <c r="J390" s="487"/>
      <c r="K390" s="487"/>
      <c r="L390" s="487"/>
      <c r="M390" s="487"/>
      <c r="N390" s="487"/>
      <c r="O390" s="487"/>
      <c r="P390" s="487"/>
    </row>
    <row r="391" spans="1:16" ht="16.5" x14ac:dyDescent="0.25">
      <c r="A391" s="4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487"/>
      <c r="C391" s="487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7"/>
      <c r="P391" s="487"/>
    </row>
    <row r="392" spans="1:16" ht="12.75" x14ac:dyDescent="0.2">
      <c r="A392" s="487"/>
      <c r="B392" s="487"/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</row>
    <row r="393" spans="1:16" ht="12.75" x14ac:dyDescent="0.2">
      <c r="A393" s="487"/>
      <c r="B393" s="487"/>
      <c r="C393" s="487"/>
      <c r="D393" s="487"/>
      <c r="E393" s="487"/>
      <c r="F393" s="487"/>
      <c r="G393" s="487"/>
      <c r="H393" s="487"/>
      <c r="I393" s="487"/>
      <c r="J393" s="487"/>
      <c r="K393" s="487"/>
      <c r="L393" s="487"/>
      <c r="M393" s="487"/>
      <c r="N393" s="487"/>
      <c r="O393" s="487"/>
      <c r="P393" s="487"/>
    </row>
    <row r="394" spans="1:16" ht="12.75" x14ac:dyDescent="0.2">
      <c r="A394" s="487"/>
      <c r="B394" s="487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487"/>
    </row>
    <row r="395" spans="1:16" ht="12.75" x14ac:dyDescent="0.2">
      <c r="A395" s="487"/>
      <c r="B395" s="487"/>
      <c r="C395" s="487"/>
      <c r="D395" s="487"/>
      <c r="E395" s="487"/>
      <c r="F395" s="487"/>
      <c r="G395" s="487"/>
      <c r="H395" s="487"/>
      <c r="I395" s="487"/>
      <c r="J395" s="487"/>
      <c r="K395" s="487"/>
      <c r="L395" s="487"/>
      <c r="M395" s="487"/>
      <c r="N395" s="487"/>
      <c r="O395" s="487"/>
      <c r="P395" s="487"/>
    </row>
    <row r="396" spans="1:16" ht="12.75" x14ac:dyDescent="0.2">
      <c r="A396" s="487"/>
      <c r="B396" s="487"/>
      <c r="C396" s="487"/>
      <c r="D396" s="487"/>
      <c r="E396" s="487"/>
      <c r="F396" s="487"/>
      <c r="G396" s="487"/>
      <c r="H396" s="487"/>
      <c r="I396" s="487"/>
      <c r="J396" s="487"/>
      <c r="K396" s="487"/>
      <c r="L396" s="487"/>
      <c r="M396" s="487"/>
      <c r="N396" s="487"/>
      <c r="O396" s="487"/>
      <c r="P396" s="487"/>
    </row>
    <row r="397" spans="1:16" ht="12.75" x14ac:dyDescent="0.2">
      <c r="A397" s="487"/>
      <c r="B397" s="487"/>
      <c r="C397" s="487"/>
      <c r="D397" s="487"/>
      <c r="E397" s="487"/>
      <c r="F397" s="487"/>
      <c r="G397" s="487"/>
      <c r="H397" s="487"/>
      <c r="I397" s="487"/>
      <c r="J397" s="487"/>
      <c r="K397" s="487"/>
      <c r="L397" s="487"/>
      <c r="M397" s="487"/>
      <c r="N397" s="487"/>
      <c r="O397" s="487"/>
      <c r="P397" s="487"/>
    </row>
    <row r="398" spans="1:16" ht="12.75" x14ac:dyDescent="0.2">
      <c r="A398" s="487"/>
      <c r="B398" s="487"/>
      <c r="C398" s="487"/>
      <c r="D398" s="487"/>
      <c r="E398" s="487"/>
      <c r="F398" s="487"/>
      <c r="G398" s="487"/>
      <c r="H398" s="487"/>
      <c r="I398" s="487"/>
      <c r="J398" s="487"/>
      <c r="K398" s="487"/>
      <c r="L398" s="487"/>
      <c r="M398" s="487"/>
      <c r="N398" s="487"/>
      <c r="O398" s="487"/>
      <c r="P398" s="487"/>
    </row>
    <row r="399" spans="1:16" ht="12.75" x14ac:dyDescent="0.2">
      <c r="A399" s="487"/>
      <c r="B399" s="487"/>
      <c r="C399" s="487"/>
      <c r="D399" s="487"/>
      <c r="E399" s="487"/>
      <c r="F399" s="487"/>
      <c r="G399" s="487"/>
      <c r="H399" s="487"/>
      <c r="I399" s="487"/>
      <c r="J399" s="487"/>
      <c r="K399" s="487"/>
      <c r="L399" s="487"/>
      <c r="M399" s="487"/>
      <c r="N399" s="487"/>
      <c r="O399" s="487"/>
      <c r="P399" s="487"/>
    </row>
    <row r="400" spans="1:16" ht="12.75" x14ac:dyDescent="0.2">
      <c r="A400" s="487"/>
      <c r="B400" s="487"/>
      <c r="C400" s="487"/>
      <c r="D400" s="487"/>
      <c r="E400" s="487"/>
      <c r="F400" s="487"/>
      <c r="G400" s="487"/>
      <c r="H400" s="487"/>
      <c r="I400" s="487"/>
      <c r="J400" s="487"/>
      <c r="K400" s="487"/>
      <c r="L400" s="487"/>
      <c r="M400" s="487"/>
      <c r="N400" s="487"/>
      <c r="O400" s="487"/>
      <c r="P400" s="487"/>
    </row>
    <row r="401" spans="1:16" ht="12.75" x14ac:dyDescent="0.2">
      <c r="A401" s="487"/>
      <c r="B401" s="487"/>
      <c r="C401" s="487"/>
      <c r="D401" s="487"/>
      <c r="E401" s="487"/>
      <c r="F401" s="487"/>
      <c r="G401" s="487"/>
      <c r="H401" s="487"/>
      <c r="I401" s="487"/>
      <c r="J401" s="487"/>
      <c r="K401" s="487"/>
      <c r="L401" s="487"/>
      <c r="M401" s="487"/>
      <c r="N401" s="487"/>
      <c r="O401" s="487"/>
      <c r="P401" s="487"/>
    </row>
    <row r="402" spans="1:16" ht="12.75" x14ac:dyDescent="0.2">
      <c r="A402" s="487"/>
      <c r="B402" s="487"/>
      <c r="C402" s="487"/>
      <c r="D402" s="487"/>
      <c r="E402" s="487"/>
      <c r="F402" s="487"/>
      <c r="G402" s="487"/>
      <c r="H402" s="487"/>
      <c r="I402" s="487"/>
      <c r="J402" s="487"/>
      <c r="K402" s="487"/>
      <c r="L402" s="487"/>
      <c r="M402" s="487"/>
      <c r="N402" s="487"/>
      <c r="O402" s="487"/>
      <c r="P402" s="487"/>
    </row>
    <row r="403" spans="1:16" ht="12.75" x14ac:dyDescent="0.2">
      <c r="A403" s="487"/>
      <c r="B403" s="487"/>
      <c r="C403" s="487"/>
      <c r="D403" s="487"/>
      <c r="E403" s="487"/>
      <c r="F403" s="487"/>
      <c r="G403" s="487"/>
      <c r="H403" s="487"/>
      <c r="I403" s="487"/>
      <c r="J403" s="487"/>
      <c r="K403" s="487"/>
      <c r="L403" s="487"/>
      <c r="M403" s="487"/>
      <c r="N403" s="487"/>
      <c r="O403" s="487"/>
      <c r="P403" s="487"/>
    </row>
    <row r="404" spans="1:16" ht="12.75" x14ac:dyDescent="0.2">
      <c r="A404" s="487"/>
      <c r="B404" s="487"/>
      <c r="C404" s="487"/>
      <c r="D404" s="487"/>
      <c r="E404" s="487"/>
      <c r="F404" s="487"/>
      <c r="G404" s="487"/>
      <c r="H404" s="487"/>
      <c r="I404" s="487"/>
      <c r="J404" s="487"/>
      <c r="K404" s="487"/>
      <c r="L404" s="487"/>
      <c r="M404" s="487"/>
      <c r="N404" s="487"/>
      <c r="O404" s="487"/>
      <c r="P404" s="487"/>
    </row>
    <row r="405" spans="1:16" ht="12.75" x14ac:dyDescent="0.2">
      <c r="A405" s="487"/>
      <c r="B405" s="487"/>
      <c r="C405" s="487"/>
      <c r="D405" s="487"/>
      <c r="E405" s="487"/>
      <c r="F405" s="487"/>
      <c r="G405" s="487"/>
      <c r="H405" s="487"/>
      <c r="I405" s="487"/>
      <c r="J405" s="487"/>
      <c r="K405" s="487"/>
      <c r="L405" s="487"/>
      <c r="M405" s="487"/>
      <c r="N405" s="487"/>
      <c r="O405" s="487"/>
      <c r="P405" s="487"/>
    </row>
    <row r="406" spans="1:16" ht="12.75" x14ac:dyDescent="0.2">
      <c r="A406" s="487"/>
      <c r="B406" s="487"/>
      <c r="C406" s="487"/>
      <c r="D406" s="487"/>
      <c r="E406" s="487"/>
      <c r="F406" s="487"/>
      <c r="G406" s="487"/>
      <c r="H406" s="487"/>
      <c r="I406" s="487"/>
      <c r="J406" s="487"/>
      <c r="K406" s="487"/>
      <c r="L406" s="487"/>
      <c r="M406" s="487"/>
      <c r="N406" s="487"/>
      <c r="O406" s="487"/>
      <c r="P406" s="487"/>
    </row>
    <row r="407" spans="1:16" ht="12.75" x14ac:dyDescent="0.2">
      <c r="A407" s="487"/>
      <c r="B407" s="487"/>
      <c r="C407" s="487"/>
      <c r="D407" s="487"/>
      <c r="E407" s="487"/>
      <c r="F407" s="487"/>
      <c r="G407" s="487"/>
      <c r="H407" s="487"/>
      <c r="I407" s="487"/>
      <c r="J407" s="487"/>
      <c r="K407" s="487"/>
      <c r="L407" s="487"/>
      <c r="M407" s="487"/>
      <c r="N407" s="487"/>
      <c r="O407" s="487"/>
      <c r="P407" s="487"/>
    </row>
    <row r="408" spans="1:16" ht="12.75" x14ac:dyDescent="0.2">
      <c r="A408" s="487"/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</row>
    <row r="409" spans="1:16" ht="12.75" x14ac:dyDescent="0.2">
      <c r="A409" s="487"/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</row>
    <row r="410" spans="1:16" ht="12.75" x14ac:dyDescent="0.2">
      <c r="A410" s="487"/>
      <c r="B410" s="487"/>
      <c r="C410" s="487"/>
      <c r="D410" s="487"/>
      <c r="E410" s="487"/>
      <c r="F410" s="487"/>
      <c r="G410" s="487"/>
      <c r="H410" s="487"/>
      <c r="I410" s="487"/>
      <c r="J410" s="487"/>
      <c r="K410" s="487"/>
      <c r="L410" s="487"/>
      <c r="M410" s="487"/>
      <c r="N410" s="487"/>
      <c r="O410" s="487"/>
      <c r="P410" s="487"/>
    </row>
    <row r="411" spans="1:16" ht="12.75" x14ac:dyDescent="0.2">
      <c r="A411" s="487"/>
      <c r="B411" s="487"/>
      <c r="C411" s="487"/>
      <c r="D411" s="487"/>
      <c r="E411" s="487"/>
      <c r="F411" s="487"/>
      <c r="G411" s="487"/>
      <c r="H411" s="487"/>
      <c r="I411" s="487"/>
      <c r="J411" s="487"/>
      <c r="K411" s="487"/>
      <c r="L411" s="487"/>
      <c r="M411" s="487"/>
      <c r="N411" s="487"/>
      <c r="O411" s="487"/>
      <c r="P411" s="487"/>
    </row>
    <row r="412" spans="1:16" ht="12.75" x14ac:dyDescent="0.2">
      <c r="A412" s="487"/>
      <c r="B412" s="487"/>
      <c r="C412" s="487"/>
      <c r="D412" s="487"/>
      <c r="E412" s="487"/>
      <c r="F412" s="487"/>
      <c r="G412" s="487"/>
      <c r="H412" s="487"/>
      <c r="I412" s="487"/>
      <c r="J412" s="487"/>
      <c r="K412" s="487"/>
      <c r="L412" s="487"/>
      <c r="M412" s="487"/>
      <c r="N412" s="487"/>
      <c r="O412" s="487"/>
      <c r="P412" s="487"/>
    </row>
    <row r="413" spans="1:16" ht="12.75" x14ac:dyDescent="0.2">
      <c r="A413" s="487"/>
      <c r="B413" s="487"/>
      <c r="C413" s="487"/>
      <c r="D413" s="487"/>
      <c r="E413" s="487"/>
      <c r="F413" s="487"/>
      <c r="G413" s="487"/>
      <c r="H413" s="487"/>
      <c r="I413" s="487"/>
      <c r="J413" s="487"/>
      <c r="K413" s="487"/>
      <c r="L413" s="487"/>
      <c r="M413" s="487"/>
      <c r="N413" s="487"/>
      <c r="O413" s="487"/>
      <c r="P413" s="487"/>
    </row>
    <row r="414" spans="1:16" ht="12.75" x14ac:dyDescent="0.2">
      <c r="A414" s="487"/>
      <c r="B414" s="487"/>
      <c r="C414" s="487"/>
      <c r="D414" s="487"/>
      <c r="E414" s="487"/>
      <c r="F414" s="487"/>
      <c r="G414" s="487"/>
      <c r="H414" s="487"/>
      <c r="I414" s="487"/>
      <c r="J414" s="487"/>
      <c r="K414" s="487"/>
      <c r="L414" s="487"/>
      <c r="M414" s="487"/>
      <c r="N414" s="487"/>
      <c r="O414" s="487"/>
      <c r="P414" s="487"/>
    </row>
    <row r="415" spans="1:16" ht="12.75" x14ac:dyDescent="0.2">
      <c r="A415" s="487"/>
      <c r="B415" s="487"/>
      <c r="C415" s="487"/>
      <c r="D415" s="487"/>
      <c r="E415" s="487"/>
      <c r="F415" s="487"/>
      <c r="G415" s="487"/>
      <c r="H415" s="487"/>
      <c r="I415" s="487"/>
      <c r="J415" s="487"/>
      <c r="K415" s="487"/>
      <c r="L415" s="487"/>
      <c r="M415" s="487"/>
      <c r="N415" s="487"/>
      <c r="O415" s="487"/>
      <c r="P415" s="487"/>
    </row>
    <row r="416" spans="1:16" ht="12.75" x14ac:dyDescent="0.2">
      <c r="A416" s="487"/>
      <c r="B416" s="487"/>
      <c r="C416" s="487"/>
      <c r="D416" s="487"/>
      <c r="E416" s="487"/>
      <c r="F416" s="487"/>
      <c r="G416" s="487"/>
      <c r="H416" s="487"/>
      <c r="I416" s="487"/>
      <c r="J416" s="487"/>
      <c r="K416" s="487"/>
      <c r="L416" s="487"/>
      <c r="M416" s="487"/>
      <c r="N416" s="487"/>
      <c r="O416" s="487"/>
      <c r="P416" s="487"/>
    </row>
    <row r="417" spans="1:16" ht="12.75" x14ac:dyDescent="0.2">
      <c r="A417" s="487"/>
      <c r="B417" s="487"/>
      <c r="C417" s="487"/>
      <c r="D417" s="487"/>
      <c r="E417" s="487"/>
      <c r="F417" s="487"/>
      <c r="G417" s="487"/>
      <c r="H417" s="487"/>
      <c r="I417" s="487"/>
      <c r="J417" s="487"/>
      <c r="K417" s="487"/>
      <c r="L417" s="487"/>
      <c r="M417" s="487"/>
      <c r="N417" s="487"/>
      <c r="O417" s="487"/>
      <c r="P417" s="487"/>
    </row>
    <row r="418" spans="1:16" ht="12.75" x14ac:dyDescent="0.2">
      <c r="A418" s="487"/>
      <c r="B418" s="487"/>
      <c r="C418" s="487"/>
      <c r="D418" s="487"/>
      <c r="E418" s="487"/>
      <c r="F418" s="487"/>
      <c r="G418" s="487"/>
      <c r="H418" s="487"/>
      <c r="I418" s="487"/>
      <c r="J418" s="487"/>
      <c r="K418" s="487"/>
      <c r="L418" s="487"/>
      <c r="M418" s="487"/>
      <c r="N418" s="487"/>
      <c r="O418" s="487"/>
      <c r="P418" s="487"/>
    </row>
    <row r="419" spans="1:16" ht="12.75" x14ac:dyDescent="0.2">
      <c r="A419" s="487"/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</row>
    <row r="420" spans="1:16" ht="12.75" x14ac:dyDescent="0.2">
      <c r="A420" s="487"/>
      <c r="B420" s="487"/>
      <c r="C420" s="487"/>
      <c r="D420" s="487"/>
      <c r="E420" s="487"/>
      <c r="F420" s="487"/>
      <c r="G420" s="487"/>
      <c r="H420" s="487"/>
      <c r="I420" s="487"/>
      <c r="J420" s="487"/>
      <c r="K420" s="487"/>
      <c r="L420" s="487"/>
      <c r="M420" s="487"/>
      <c r="N420" s="487"/>
      <c r="O420" s="487"/>
      <c r="P420" s="487"/>
    </row>
    <row r="421" spans="1:16" ht="12.75" x14ac:dyDescent="0.2">
      <c r="A421" s="487"/>
      <c r="B421" s="487"/>
      <c r="C421" s="487"/>
      <c r="D421" s="487"/>
      <c r="E421" s="487"/>
      <c r="F421" s="487"/>
      <c r="G421" s="487"/>
      <c r="H421" s="487"/>
      <c r="I421" s="487"/>
      <c r="J421" s="487"/>
      <c r="K421" s="487"/>
      <c r="L421" s="487"/>
      <c r="M421" s="487"/>
      <c r="N421" s="487"/>
      <c r="O421" s="487"/>
      <c r="P421" s="487"/>
    </row>
    <row r="422" spans="1:16" ht="12.75" x14ac:dyDescent="0.2">
      <c r="A422" s="487"/>
      <c r="B422" s="487"/>
      <c r="C422" s="487"/>
      <c r="D422" s="487"/>
      <c r="E422" s="487"/>
      <c r="F422" s="487"/>
      <c r="G422" s="487"/>
      <c r="H422" s="487"/>
      <c r="I422" s="487"/>
      <c r="J422" s="487"/>
      <c r="K422" s="487"/>
      <c r="L422" s="487"/>
      <c r="M422" s="487"/>
      <c r="N422" s="487"/>
      <c r="O422" s="487"/>
      <c r="P422" s="487"/>
    </row>
    <row r="423" spans="1:16" ht="12.75" x14ac:dyDescent="0.2">
      <c r="A423" s="487"/>
      <c r="B423" s="487"/>
      <c r="C423" s="487"/>
      <c r="D423" s="487"/>
      <c r="E423" s="487"/>
      <c r="F423" s="487"/>
      <c r="G423" s="487"/>
      <c r="H423" s="487"/>
      <c r="I423" s="487"/>
      <c r="J423" s="487"/>
      <c r="K423" s="487"/>
      <c r="L423" s="487"/>
      <c r="M423" s="487"/>
      <c r="N423" s="487"/>
      <c r="O423" s="487"/>
      <c r="P423" s="487"/>
    </row>
    <row r="424" spans="1:16" ht="12.75" x14ac:dyDescent="0.2">
      <c r="A424" s="487"/>
      <c r="B424" s="487"/>
      <c r="C424" s="487"/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7"/>
    </row>
    <row r="425" spans="1:16" ht="12.75" x14ac:dyDescent="0.2">
      <c r="A425" s="487"/>
      <c r="B425" s="487"/>
      <c r="C425" s="487"/>
      <c r="D425" s="487"/>
      <c r="E425" s="487"/>
      <c r="F425" s="487"/>
      <c r="G425" s="487"/>
      <c r="H425" s="487"/>
      <c r="I425" s="487"/>
      <c r="J425" s="487"/>
      <c r="K425" s="487"/>
      <c r="L425" s="487"/>
      <c r="M425" s="487"/>
      <c r="N425" s="487"/>
      <c r="O425" s="487"/>
      <c r="P425" s="487"/>
    </row>
    <row r="426" spans="1:16" ht="12.75" x14ac:dyDescent="0.2">
      <c r="A426" s="487"/>
      <c r="B426" s="487"/>
      <c r="C426" s="487"/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7"/>
    </row>
    <row r="427" spans="1:16" ht="12.75" x14ac:dyDescent="0.2">
      <c r="A427" s="487"/>
      <c r="B427" s="487"/>
      <c r="C427" s="487"/>
      <c r="D427" s="487"/>
      <c r="E427" s="487"/>
      <c r="F427" s="487"/>
      <c r="G427" s="487"/>
      <c r="H427" s="487"/>
      <c r="I427" s="487"/>
      <c r="J427" s="487"/>
      <c r="K427" s="487"/>
      <c r="L427" s="487"/>
      <c r="M427" s="487"/>
      <c r="N427" s="487"/>
      <c r="O427" s="487"/>
      <c r="P427" s="487"/>
    </row>
    <row r="428" spans="1:16" ht="12.75" x14ac:dyDescent="0.2">
      <c r="A428" s="487"/>
      <c r="B428" s="487"/>
      <c r="C428" s="487"/>
      <c r="D428" s="487"/>
      <c r="E428" s="487"/>
      <c r="F428" s="487"/>
      <c r="G428" s="487"/>
      <c r="H428" s="487"/>
      <c r="I428" s="487"/>
      <c r="J428" s="487"/>
      <c r="K428" s="487"/>
      <c r="L428" s="487"/>
      <c r="M428" s="487"/>
      <c r="N428" s="487"/>
      <c r="O428" s="487"/>
      <c r="P428" s="487"/>
    </row>
    <row r="429" spans="1:16" ht="12.75" x14ac:dyDescent="0.2">
      <c r="A429" s="487"/>
      <c r="B429" s="487"/>
      <c r="C429" s="487"/>
      <c r="D429" s="487"/>
      <c r="E429" s="487"/>
      <c r="F429" s="487"/>
      <c r="G429" s="487"/>
      <c r="H429" s="487"/>
      <c r="I429" s="487"/>
      <c r="J429" s="487"/>
      <c r="K429" s="487"/>
      <c r="L429" s="487"/>
      <c r="M429" s="487"/>
      <c r="N429" s="487"/>
      <c r="O429" s="487"/>
      <c r="P429" s="487"/>
    </row>
    <row r="430" spans="1:16" ht="12.75" x14ac:dyDescent="0.2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</row>
    <row r="431" spans="1:16" ht="12.75" x14ac:dyDescent="0.2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</row>
    <row r="432" spans="1:16" ht="12.75" x14ac:dyDescent="0.2">
      <c r="A432" s="487"/>
      <c r="B432" s="487"/>
      <c r="C432" s="487"/>
      <c r="D432" s="487"/>
      <c r="E432" s="487"/>
      <c r="F432" s="487"/>
      <c r="G432" s="487"/>
      <c r="H432" s="487"/>
      <c r="I432" s="487"/>
      <c r="J432" s="487"/>
      <c r="K432" s="487"/>
      <c r="L432" s="487"/>
      <c r="M432" s="487"/>
      <c r="N432" s="487"/>
      <c r="O432" s="487"/>
      <c r="P432" s="487"/>
    </row>
    <row r="433" spans="1:16" ht="12.75" x14ac:dyDescent="0.2">
      <c r="A433" s="487"/>
      <c r="B433" s="487"/>
      <c r="C433" s="487"/>
      <c r="D433" s="487"/>
      <c r="E433" s="487"/>
      <c r="F433" s="487"/>
      <c r="G433" s="487"/>
      <c r="H433" s="487"/>
      <c r="I433" s="487"/>
      <c r="J433" s="487"/>
      <c r="K433" s="487"/>
      <c r="L433" s="487"/>
      <c r="M433" s="487"/>
      <c r="N433" s="487"/>
      <c r="O433" s="487"/>
      <c r="P433" s="487"/>
    </row>
    <row r="434" spans="1:16" ht="12.75" x14ac:dyDescent="0.2">
      <c r="A434" s="487"/>
      <c r="B434" s="487"/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</row>
    <row r="435" spans="1:16" ht="12.75" x14ac:dyDescent="0.2">
      <c r="A435" s="487"/>
      <c r="B435" s="487"/>
      <c r="C435" s="487"/>
      <c r="D435" s="487"/>
      <c r="E435" s="487"/>
      <c r="F435" s="487"/>
      <c r="G435" s="487"/>
      <c r="H435" s="487"/>
      <c r="I435" s="487"/>
      <c r="J435" s="487"/>
      <c r="K435" s="487"/>
      <c r="L435" s="487"/>
      <c r="M435" s="487"/>
      <c r="N435" s="487"/>
      <c r="O435" s="487"/>
      <c r="P435" s="487"/>
    </row>
    <row r="436" spans="1:16" ht="12.75" x14ac:dyDescent="0.2">
      <c r="A436" s="487"/>
      <c r="B436" s="487"/>
      <c r="C436" s="487"/>
      <c r="D436" s="487"/>
      <c r="E436" s="487"/>
      <c r="F436" s="487"/>
      <c r="G436" s="487"/>
      <c r="H436" s="487"/>
      <c r="I436" s="487"/>
      <c r="J436" s="487"/>
      <c r="K436" s="487"/>
      <c r="L436" s="487"/>
      <c r="M436" s="487"/>
      <c r="N436" s="487"/>
      <c r="O436" s="487"/>
      <c r="P436" s="487"/>
    </row>
    <row r="437" spans="1:16" ht="12.75" x14ac:dyDescent="0.2">
      <c r="A437" s="487"/>
      <c r="B437" s="487"/>
      <c r="C437" s="487"/>
      <c r="D437" s="487"/>
      <c r="E437" s="487"/>
      <c r="F437" s="487"/>
      <c r="G437" s="487"/>
      <c r="H437" s="487"/>
      <c r="I437" s="487"/>
      <c r="J437" s="487"/>
      <c r="K437" s="487"/>
      <c r="L437" s="487"/>
      <c r="M437" s="487"/>
      <c r="N437" s="487"/>
      <c r="O437" s="487"/>
      <c r="P437" s="487"/>
    </row>
    <row r="438" spans="1:16" ht="12.75" x14ac:dyDescent="0.2">
      <c r="A438" s="487"/>
      <c r="B438" s="487"/>
      <c r="C438" s="487"/>
      <c r="D438" s="487"/>
      <c r="E438" s="487"/>
      <c r="F438" s="487"/>
      <c r="G438" s="487"/>
      <c r="H438" s="487"/>
      <c r="I438" s="487"/>
      <c r="J438" s="487"/>
      <c r="K438" s="487"/>
      <c r="L438" s="487"/>
      <c r="M438" s="487"/>
      <c r="N438" s="487"/>
      <c r="O438" s="487"/>
      <c r="P438" s="487"/>
    </row>
    <row r="439" spans="1:16" ht="12.75" x14ac:dyDescent="0.2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87"/>
    </row>
    <row r="440" spans="1:16" ht="12.75" x14ac:dyDescent="0.2">
      <c r="A440" s="487"/>
      <c r="B440" s="487"/>
      <c r="C440" s="487"/>
      <c r="D440" s="487"/>
      <c r="E440" s="487"/>
      <c r="F440" s="487"/>
      <c r="G440" s="487"/>
      <c r="H440" s="487"/>
      <c r="I440" s="487"/>
      <c r="J440" s="487"/>
      <c r="K440" s="487"/>
      <c r="L440" s="487"/>
      <c r="M440" s="487"/>
      <c r="N440" s="487"/>
      <c r="O440" s="487"/>
      <c r="P440" s="487"/>
    </row>
    <row r="441" spans="1:16" ht="12.75" x14ac:dyDescent="0.2">
      <c r="A441" s="487"/>
      <c r="B441" s="487"/>
      <c r="C441" s="487"/>
      <c r="D441" s="487"/>
      <c r="E441" s="487"/>
      <c r="F441" s="487"/>
      <c r="G441" s="487"/>
      <c r="H441" s="487"/>
      <c r="I441" s="487"/>
      <c r="J441" s="487"/>
      <c r="K441" s="487"/>
      <c r="L441" s="487"/>
      <c r="M441" s="487"/>
      <c r="N441" s="487"/>
      <c r="O441" s="487"/>
      <c r="P441" s="487"/>
    </row>
    <row r="442" spans="1:16" ht="12.75" x14ac:dyDescent="0.2">
      <c r="A442" s="487"/>
      <c r="B442" s="487"/>
      <c r="C442" s="487"/>
      <c r="D442" s="487"/>
      <c r="E442" s="487"/>
      <c r="F442" s="487"/>
      <c r="G442" s="487"/>
      <c r="H442" s="487"/>
      <c r="I442" s="487"/>
      <c r="J442" s="487"/>
      <c r="K442" s="487"/>
      <c r="L442" s="487"/>
      <c r="M442" s="487"/>
      <c r="N442" s="487"/>
      <c r="O442" s="487"/>
      <c r="P442" s="487"/>
    </row>
    <row r="443" spans="1:16" ht="12.75" x14ac:dyDescent="0.2">
      <c r="A443" s="487"/>
      <c r="B443" s="487"/>
      <c r="C443" s="487"/>
      <c r="D443" s="487"/>
      <c r="E443" s="487"/>
      <c r="F443" s="487"/>
      <c r="G443" s="487"/>
      <c r="H443" s="487"/>
      <c r="I443" s="487"/>
      <c r="J443" s="487"/>
      <c r="K443" s="487"/>
      <c r="L443" s="487"/>
      <c r="M443" s="487"/>
      <c r="N443" s="487"/>
      <c r="O443" s="487"/>
      <c r="P443" s="487"/>
    </row>
    <row r="444" spans="1:16" ht="12.75" x14ac:dyDescent="0.2">
      <c r="A444" s="487"/>
      <c r="B444" s="487"/>
      <c r="C444" s="487"/>
      <c r="D444" s="487"/>
      <c r="E444" s="487"/>
      <c r="F444" s="487"/>
      <c r="G444" s="487"/>
      <c r="H444" s="487"/>
      <c r="I444" s="487"/>
      <c r="J444" s="487"/>
      <c r="K444" s="487"/>
      <c r="L444" s="487"/>
      <c r="M444" s="487"/>
      <c r="N444" s="487"/>
      <c r="O444" s="487"/>
      <c r="P444" s="487"/>
    </row>
    <row r="445" spans="1:16" ht="12.75" x14ac:dyDescent="0.2">
      <c r="A445" s="487"/>
      <c r="B445" s="487"/>
      <c r="C445" s="487"/>
      <c r="D445" s="487"/>
      <c r="E445" s="487"/>
      <c r="F445" s="487"/>
      <c r="G445" s="487"/>
      <c r="H445" s="487"/>
      <c r="I445" s="487"/>
      <c r="J445" s="487"/>
      <c r="K445" s="487"/>
      <c r="L445" s="487"/>
      <c r="M445" s="487"/>
      <c r="N445" s="487"/>
      <c r="O445" s="487"/>
      <c r="P445" s="487"/>
    </row>
    <row r="446" spans="1:16" ht="12.75" x14ac:dyDescent="0.2">
      <c r="A446" s="487"/>
      <c r="B446" s="487"/>
      <c r="C446" s="487"/>
      <c r="D446" s="487"/>
      <c r="E446" s="487"/>
      <c r="F446" s="487"/>
      <c r="G446" s="487"/>
      <c r="H446" s="487"/>
      <c r="I446" s="487"/>
      <c r="J446" s="487"/>
      <c r="K446" s="487"/>
      <c r="L446" s="487"/>
      <c r="M446" s="487"/>
      <c r="N446" s="487"/>
      <c r="O446" s="487"/>
      <c r="P446" s="487"/>
    </row>
    <row r="447" spans="1:16" ht="12.75" x14ac:dyDescent="0.2">
      <c r="A447" s="487"/>
      <c r="B447" s="487"/>
      <c r="C447" s="487"/>
      <c r="D447" s="487"/>
      <c r="E447" s="487"/>
      <c r="F447" s="487"/>
      <c r="G447" s="487"/>
      <c r="H447" s="487"/>
      <c r="I447" s="487"/>
      <c r="J447" s="487"/>
      <c r="K447" s="487"/>
      <c r="L447" s="487"/>
      <c r="M447" s="487"/>
      <c r="N447" s="487"/>
      <c r="O447" s="487"/>
      <c r="P447" s="487"/>
    </row>
    <row r="448" spans="1:16" ht="12.75" x14ac:dyDescent="0.2">
      <c r="A448" s="487"/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</row>
    <row r="449" spans="1:16" ht="12.75" x14ac:dyDescent="0.2">
      <c r="A449" s="487"/>
      <c r="B449" s="487"/>
      <c r="C449" s="487"/>
      <c r="D449" s="487"/>
      <c r="E449" s="487"/>
      <c r="F449" s="487"/>
      <c r="G449" s="487"/>
      <c r="H449" s="487"/>
      <c r="I449" s="487"/>
      <c r="J449" s="487"/>
      <c r="K449" s="487"/>
      <c r="L449" s="487"/>
      <c r="M449" s="487"/>
      <c r="N449" s="487"/>
      <c r="O449" s="487"/>
      <c r="P449" s="487"/>
    </row>
    <row r="450" spans="1:16" ht="12.75" x14ac:dyDescent="0.2">
      <c r="A450" s="487"/>
      <c r="B450" s="487"/>
      <c r="C450" s="487"/>
      <c r="D450" s="487"/>
      <c r="E450" s="487"/>
      <c r="F450" s="487"/>
      <c r="G450" s="487"/>
      <c r="H450" s="487"/>
      <c r="I450" s="487"/>
      <c r="J450" s="487"/>
      <c r="K450" s="487"/>
      <c r="L450" s="487"/>
      <c r="M450" s="487"/>
      <c r="N450" s="487"/>
      <c r="O450" s="487"/>
      <c r="P450" s="487"/>
    </row>
    <row r="451" spans="1:16" ht="12.75" x14ac:dyDescent="0.2">
      <c r="A451" s="487"/>
      <c r="B451" s="487"/>
      <c r="C451" s="487"/>
      <c r="D451" s="487"/>
      <c r="E451" s="487"/>
      <c r="F451" s="487"/>
      <c r="G451" s="487"/>
      <c r="H451" s="487"/>
      <c r="I451" s="487"/>
      <c r="J451" s="487"/>
      <c r="K451" s="487"/>
      <c r="L451" s="487"/>
      <c r="M451" s="487"/>
      <c r="N451" s="487"/>
      <c r="O451" s="487"/>
      <c r="P451" s="487"/>
    </row>
    <row r="452" spans="1:16" ht="12.75" x14ac:dyDescent="0.2">
      <c r="A452" s="487"/>
      <c r="B452" s="487"/>
      <c r="C452" s="487"/>
      <c r="D452" s="487"/>
      <c r="E452" s="487"/>
      <c r="F452" s="487"/>
      <c r="G452" s="487"/>
      <c r="H452" s="487"/>
      <c r="I452" s="487"/>
      <c r="J452" s="487"/>
      <c r="K452" s="487"/>
      <c r="L452" s="487"/>
      <c r="M452" s="487"/>
      <c r="N452" s="487"/>
      <c r="O452" s="487"/>
      <c r="P452" s="487"/>
    </row>
    <row r="453" spans="1:16" ht="12.75" x14ac:dyDescent="0.2">
      <c r="A453" s="487"/>
      <c r="B453" s="487"/>
      <c r="C453" s="487"/>
      <c r="D453" s="487"/>
      <c r="E453" s="487"/>
      <c r="F453" s="487"/>
      <c r="G453" s="487"/>
      <c r="H453" s="487"/>
      <c r="I453" s="487"/>
      <c r="J453" s="487"/>
      <c r="K453" s="487"/>
      <c r="L453" s="487"/>
      <c r="M453" s="487"/>
      <c r="N453" s="487"/>
      <c r="O453" s="487"/>
      <c r="P453" s="487"/>
    </row>
    <row r="454" spans="1:16" ht="12.75" x14ac:dyDescent="0.2">
      <c r="A454" s="487"/>
      <c r="B454" s="487"/>
      <c r="C454" s="487"/>
      <c r="D454" s="487"/>
      <c r="E454" s="487"/>
      <c r="F454" s="487"/>
      <c r="G454" s="487"/>
      <c r="H454" s="487"/>
      <c r="I454" s="487"/>
      <c r="J454" s="487"/>
      <c r="K454" s="487"/>
      <c r="L454" s="487"/>
      <c r="M454" s="487"/>
      <c r="N454" s="487"/>
      <c r="O454" s="487"/>
      <c r="P454" s="487"/>
    </row>
    <row r="455" spans="1:16" ht="12.75" x14ac:dyDescent="0.2">
      <c r="A455" s="487"/>
      <c r="B455" s="487"/>
      <c r="C455" s="487"/>
      <c r="D455" s="487"/>
      <c r="E455" s="487"/>
      <c r="F455" s="487"/>
      <c r="G455" s="487"/>
      <c r="H455" s="487"/>
      <c r="I455" s="487"/>
      <c r="J455" s="487"/>
      <c r="K455" s="487"/>
      <c r="L455" s="487"/>
      <c r="M455" s="487"/>
      <c r="N455" s="487"/>
      <c r="O455" s="487"/>
      <c r="P455" s="487"/>
    </row>
    <row r="456" spans="1:16" ht="12.75" x14ac:dyDescent="0.2">
      <c r="A456" s="487"/>
      <c r="B456" s="487"/>
      <c r="C456" s="487"/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7"/>
    </row>
    <row r="457" spans="1:16" ht="12.75" x14ac:dyDescent="0.2">
      <c r="A457" s="487"/>
      <c r="B457" s="487"/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</row>
    <row r="458" spans="1:16" ht="12.75" x14ac:dyDescent="0.2">
      <c r="A458" s="487"/>
      <c r="B458" s="487"/>
      <c r="C458" s="487"/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7"/>
    </row>
    <row r="459" spans="1:16" ht="12.75" x14ac:dyDescent="0.2">
      <c r="A459" s="487"/>
      <c r="B459" s="487"/>
      <c r="C459" s="487"/>
      <c r="D459" s="487"/>
      <c r="E459" s="487"/>
      <c r="F459" s="487"/>
      <c r="G459" s="487"/>
      <c r="H459" s="487"/>
      <c r="I459" s="487"/>
      <c r="J459" s="487"/>
      <c r="K459" s="487"/>
      <c r="L459" s="487"/>
      <c r="M459" s="487"/>
      <c r="N459" s="487"/>
      <c r="O459" s="487"/>
      <c r="P459" s="487"/>
    </row>
    <row r="460" spans="1:16" ht="12.75" x14ac:dyDescent="0.2">
      <c r="A460" s="487"/>
      <c r="B460" s="487"/>
      <c r="C460" s="487"/>
      <c r="D460" s="487"/>
      <c r="E460" s="487"/>
      <c r="F460" s="487"/>
      <c r="G460" s="487"/>
      <c r="H460" s="487"/>
      <c r="I460" s="487"/>
      <c r="J460" s="487"/>
      <c r="K460" s="487"/>
      <c r="L460" s="487"/>
      <c r="M460" s="487"/>
      <c r="N460" s="487"/>
      <c r="O460" s="487"/>
      <c r="P460" s="487"/>
    </row>
    <row r="461" spans="1:16" ht="12.75" x14ac:dyDescent="0.2">
      <c r="A461" s="487"/>
      <c r="B461" s="487"/>
      <c r="C461" s="487"/>
      <c r="D461" s="487"/>
      <c r="E461" s="487"/>
      <c r="F461" s="487"/>
      <c r="G461" s="487"/>
      <c r="H461" s="487"/>
      <c r="I461" s="487"/>
      <c r="J461" s="487"/>
      <c r="K461" s="487"/>
      <c r="L461" s="487"/>
      <c r="M461" s="487"/>
      <c r="N461" s="487"/>
      <c r="O461" s="487"/>
      <c r="P461" s="487"/>
    </row>
    <row r="462" spans="1:16" ht="12.75" x14ac:dyDescent="0.2">
      <c r="A462" s="487"/>
      <c r="B462" s="487"/>
      <c r="C462" s="487"/>
      <c r="D462" s="487"/>
      <c r="E462" s="487"/>
      <c r="F462" s="487"/>
      <c r="G462" s="487"/>
      <c r="H462" s="487"/>
      <c r="I462" s="487"/>
      <c r="J462" s="487"/>
      <c r="K462" s="487"/>
      <c r="L462" s="487"/>
      <c r="M462" s="487"/>
      <c r="N462" s="487"/>
      <c r="O462" s="487"/>
      <c r="P462" s="487"/>
    </row>
    <row r="463" spans="1:16" ht="12.75" x14ac:dyDescent="0.2">
      <c r="A463" s="487"/>
      <c r="B463" s="487"/>
      <c r="C463" s="487"/>
      <c r="D463" s="487"/>
      <c r="E463" s="487"/>
      <c r="F463" s="487"/>
      <c r="G463" s="487"/>
      <c r="H463" s="487"/>
      <c r="I463" s="487"/>
      <c r="J463" s="487"/>
      <c r="K463" s="487"/>
      <c r="L463" s="487"/>
      <c r="M463" s="487"/>
      <c r="N463" s="487"/>
      <c r="O463" s="487"/>
      <c r="P463" s="487"/>
    </row>
    <row r="464" spans="1:16" ht="12.75" x14ac:dyDescent="0.2">
      <c r="A464" s="487"/>
      <c r="B464" s="487"/>
      <c r="C464" s="487"/>
      <c r="D464" s="487"/>
      <c r="E464" s="487"/>
      <c r="F464" s="487"/>
      <c r="G464" s="487"/>
      <c r="H464" s="487"/>
      <c r="I464" s="487"/>
      <c r="J464" s="487"/>
      <c r="K464" s="487"/>
      <c r="L464" s="487"/>
      <c r="M464" s="487"/>
      <c r="N464" s="487"/>
      <c r="O464" s="487"/>
      <c r="P464" s="487"/>
    </row>
    <row r="465" spans="1:16" ht="12.75" x14ac:dyDescent="0.2">
      <c r="A465" s="487"/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</row>
    <row r="466" spans="1:16" ht="12.75" x14ac:dyDescent="0.2">
      <c r="A466" s="487"/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</row>
    <row r="467" spans="1:16" ht="12.75" x14ac:dyDescent="0.2">
      <c r="A467" s="487"/>
      <c r="B467" s="487"/>
      <c r="C467" s="487"/>
      <c r="D467" s="487"/>
      <c r="E467" s="487"/>
      <c r="F467" s="487"/>
      <c r="G467" s="487"/>
      <c r="H467" s="487"/>
      <c r="I467" s="487"/>
      <c r="J467" s="487"/>
      <c r="K467" s="487"/>
      <c r="L467" s="487"/>
      <c r="M467" s="487"/>
      <c r="N467" s="487"/>
      <c r="O467" s="487"/>
      <c r="P467" s="487"/>
    </row>
    <row r="468" spans="1:16" ht="12.75" x14ac:dyDescent="0.2">
      <c r="A468" s="487"/>
      <c r="B468" s="487"/>
      <c r="C468" s="487"/>
      <c r="D468" s="487"/>
      <c r="E468" s="487"/>
      <c r="F468" s="487"/>
      <c r="G468" s="487"/>
      <c r="H468" s="487"/>
      <c r="I468" s="487"/>
      <c r="J468" s="487"/>
      <c r="K468" s="487"/>
      <c r="L468" s="487"/>
      <c r="M468" s="487"/>
      <c r="N468" s="487"/>
      <c r="O468" s="487"/>
      <c r="P468" s="487"/>
    </row>
    <row r="469" spans="1:16" ht="12.75" x14ac:dyDescent="0.2">
      <c r="A469" s="487"/>
      <c r="B469" s="487"/>
      <c r="C469" s="487"/>
      <c r="D469" s="487"/>
      <c r="E469" s="487"/>
      <c r="F469" s="487"/>
      <c r="G469" s="487"/>
      <c r="H469" s="487"/>
      <c r="I469" s="487"/>
      <c r="J469" s="487"/>
      <c r="K469" s="487"/>
      <c r="L469" s="487"/>
      <c r="M469" s="487"/>
      <c r="N469" s="487"/>
      <c r="O469" s="487"/>
      <c r="P469" s="487"/>
    </row>
    <row r="470" spans="1:16" ht="12.75" x14ac:dyDescent="0.2">
      <c r="A470" s="487"/>
      <c r="B470" s="487"/>
      <c r="C470" s="487"/>
      <c r="D470" s="487"/>
      <c r="E470" s="487"/>
      <c r="F470" s="487"/>
      <c r="G470" s="487"/>
      <c r="H470" s="487"/>
      <c r="I470" s="487"/>
      <c r="J470" s="487"/>
      <c r="K470" s="487"/>
      <c r="L470" s="487"/>
      <c r="M470" s="487"/>
      <c r="N470" s="487"/>
      <c r="O470" s="487"/>
      <c r="P470" s="487"/>
    </row>
    <row r="471" spans="1:16" ht="12.75" x14ac:dyDescent="0.2">
      <c r="A471" s="487"/>
      <c r="B471" s="487"/>
      <c r="C471" s="487"/>
      <c r="D471" s="487"/>
      <c r="E471" s="487"/>
      <c r="F471" s="487"/>
      <c r="G471" s="487"/>
      <c r="H471" s="487"/>
      <c r="I471" s="487"/>
      <c r="J471" s="487"/>
      <c r="K471" s="487"/>
      <c r="L471" s="487"/>
      <c r="M471" s="487"/>
      <c r="N471" s="487"/>
      <c r="O471" s="487"/>
      <c r="P471" s="487"/>
    </row>
    <row r="472" spans="1:16" ht="12.75" x14ac:dyDescent="0.2">
      <c r="A472" s="487"/>
      <c r="B472" s="487"/>
      <c r="C472" s="487"/>
      <c r="D472" s="487"/>
      <c r="E472" s="487"/>
      <c r="F472" s="487"/>
      <c r="G472" s="487"/>
      <c r="H472" s="487"/>
      <c r="I472" s="487"/>
      <c r="J472" s="487"/>
      <c r="K472" s="487"/>
      <c r="L472" s="487"/>
      <c r="M472" s="487"/>
      <c r="N472" s="487"/>
      <c r="O472" s="487"/>
      <c r="P472" s="487"/>
    </row>
    <row r="473" spans="1:16" ht="12.75" x14ac:dyDescent="0.2">
      <c r="A473" s="487"/>
      <c r="B473" s="487"/>
      <c r="C473" s="487"/>
      <c r="D473" s="487"/>
      <c r="E473" s="487"/>
      <c r="F473" s="487"/>
      <c r="G473" s="487"/>
      <c r="H473" s="487"/>
      <c r="I473" s="487"/>
      <c r="J473" s="487"/>
      <c r="K473" s="487"/>
      <c r="L473" s="487"/>
      <c r="M473" s="487"/>
      <c r="N473" s="487"/>
      <c r="O473" s="487"/>
      <c r="P473" s="487"/>
    </row>
    <row r="474" spans="1:16" ht="12.75" x14ac:dyDescent="0.2">
      <c r="A474" s="487"/>
      <c r="B474" s="487"/>
      <c r="C474" s="487"/>
      <c r="D474" s="487"/>
      <c r="E474" s="487"/>
      <c r="F474" s="487"/>
      <c r="G474" s="487"/>
      <c r="H474" s="487"/>
      <c r="I474" s="487"/>
      <c r="J474" s="487"/>
      <c r="K474" s="487"/>
      <c r="L474" s="487"/>
      <c r="M474" s="487"/>
      <c r="N474" s="487"/>
      <c r="O474" s="487"/>
      <c r="P474" s="487"/>
    </row>
    <row r="475" spans="1:16" ht="12.75" x14ac:dyDescent="0.2">
      <c r="A475" s="487"/>
      <c r="B475" s="487"/>
      <c r="C475" s="487"/>
      <c r="D475" s="487"/>
      <c r="E475" s="487"/>
      <c r="F475" s="487"/>
      <c r="G475" s="487"/>
      <c r="H475" s="487"/>
      <c r="I475" s="487"/>
      <c r="J475" s="487"/>
      <c r="K475" s="487"/>
      <c r="L475" s="487"/>
      <c r="M475" s="487"/>
      <c r="N475" s="487"/>
      <c r="O475" s="487"/>
      <c r="P475" s="487"/>
    </row>
    <row r="476" spans="1:16" ht="12.75" x14ac:dyDescent="0.2">
      <c r="A476" s="487"/>
      <c r="B476" s="487"/>
      <c r="C476" s="487"/>
      <c r="D476" s="487"/>
      <c r="E476" s="487"/>
      <c r="F476" s="487"/>
      <c r="G476" s="487"/>
      <c r="H476" s="487"/>
      <c r="I476" s="487"/>
      <c r="J476" s="487"/>
      <c r="K476" s="487"/>
      <c r="L476" s="487"/>
      <c r="M476" s="487"/>
      <c r="N476" s="487"/>
      <c r="O476" s="487"/>
      <c r="P476" s="487"/>
    </row>
    <row r="477" spans="1:16" ht="12.75" x14ac:dyDescent="0.2">
      <c r="A477" s="487"/>
      <c r="B477" s="487"/>
      <c r="C477" s="487"/>
      <c r="D477" s="487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</row>
    <row r="478" spans="1:16" ht="12.75" x14ac:dyDescent="0.2">
      <c r="A478" s="487"/>
      <c r="B478" s="487"/>
      <c r="C478" s="487"/>
      <c r="D478" s="487"/>
      <c r="E478" s="487"/>
      <c r="F478" s="487"/>
      <c r="G478" s="487"/>
      <c r="H478" s="487"/>
      <c r="I478" s="487"/>
      <c r="J478" s="487"/>
      <c r="K478" s="487"/>
      <c r="L478" s="487"/>
      <c r="M478" s="487"/>
      <c r="N478" s="487"/>
      <c r="O478" s="487"/>
      <c r="P478" s="487"/>
    </row>
    <row r="479" spans="1:16" ht="12.75" x14ac:dyDescent="0.2">
      <c r="A479" s="487"/>
      <c r="B479" s="487"/>
      <c r="C479" s="487"/>
      <c r="D479" s="487"/>
      <c r="E479" s="487"/>
      <c r="F479" s="487"/>
      <c r="G479" s="487"/>
      <c r="H479" s="487"/>
      <c r="I479" s="487"/>
      <c r="J479" s="487"/>
      <c r="K479" s="487"/>
      <c r="L479" s="487"/>
      <c r="M479" s="487"/>
      <c r="N479" s="487"/>
      <c r="O479" s="487"/>
      <c r="P479" s="487"/>
    </row>
    <row r="480" spans="1:16" ht="12.75" x14ac:dyDescent="0.2">
      <c r="A480" s="487"/>
      <c r="B480" s="487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7"/>
      <c r="P480" s="487"/>
    </row>
    <row r="481" spans="1:16" ht="12.75" x14ac:dyDescent="0.2">
      <c r="A481" s="487"/>
      <c r="B481" s="487"/>
      <c r="C481" s="487"/>
      <c r="D481" s="487"/>
      <c r="E481" s="487"/>
      <c r="F481" s="487"/>
      <c r="G481" s="487"/>
      <c r="H481" s="487"/>
      <c r="I481" s="487"/>
      <c r="J481" s="487"/>
      <c r="K481" s="487"/>
      <c r="L481" s="487"/>
      <c r="M481" s="487"/>
      <c r="N481" s="487"/>
      <c r="O481" s="487"/>
      <c r="P481" s="487"/>
    </row>
    <row r="482" spans="1:16" ht="12.75" x14ac:dyDescent="0.2">
      <c r="A482" s="487"/>
      <c r="B482" s="487"/>
      <c r="C482" s="487"/>
      <c r="D482" s="487"/>
      <c r="E482" s="487"/>
      <c r="F482" s="487"/>
      <c r="G482" s="487"/>
      <c r="H482" s="487"/>
      <c r="I482" s="487"/>
      <c r="J482" s="487"/>
      <c r="K482" s="487"/>
      <c r="L482" s="487"/>
      <c r="M482" s="487"/>
      <c r="N482" s="487"/>
      <c r="O482" s="487"/>
      <c r="P482" s="487"/>
    </row>
    <row r="483" spans="1:16" ht="12.75" x14ac:dyDescent="0.2">
      <c r="A483" s="487"/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</row>
    <row r="484" spans="1:16" ht="12.75" x14ac:dyDescent="0.2">
      <c r="A484" s="487"/>
      <c r="B484" s="487"/>
      <c r="C484" s="487"/>
      <c r="D484" s="487"/>
      <c r="E484" s="487"/>
      <c r="F484" s="487"/>
      <c r="G484" s="487"/>
      <c r="H484" s="487"/>
      <c r="I484" s="487"/>
      <c r="J484" s="487"/>
      <c r="K484" s="487"/>
      <c r="L484" s="487"/>
      <c r="M484" s="487"/>
      <c r="N484" s="487"/>
      <c r="O484" s="487"/>
      <c r="P484" s="487"/>
    </row>
    <row r="485" spans="1:16" ht="12.75" x14ac:dyDescent="0.2">
      <c r="A485" s="487"/>
      <c r="B485" s="487"/>
      <c r="C485" s="487"/>
      <c r="D485" s="487"/>
      <c r="E485" s="487"/>
      <c r="F485" s="487"/>
      <c r="G485" s="487"/>
      <c r="H485" s="487"/>
      <c r="I485" s="487"/>
      <c r="J485" s="487"/>
      <c r="K485" s="487"/>
      <c r="L485" s="487"/>
      <c r="M485" s="487"/>
      <c r="N485" s="487"/>
      <c r="O485" s="487"/>
      <c r="P485" s="487"/>
    </row>
    <row r="486" spans="1:16" ht="12.75" x14ac:dyDescent="0.2">
      <c r="A486" s="487"/>
      <c r="B486" s="487"/>
      <c r="C486" s="487"/>
      <c r="D486" s="487"/>
      <c r="E486" s="487"/>
      <c r="F486" s="487"/>
      <c r="G486" s="487"/>
      <c r="H486" s="487"/>
      <c r="I486" s="487"/>
      <c r="J486" s="487"/>
      <c r="K486" s="487"/>
      <c r="L486" s="487"/>
      <c r="M486" s="487"/>
      <c r="N486" s="487"/>
      <c r="O486" s="487"/>
      <c r="P486" s="487"/>
    </row>
    <row r="487" spans="1:16" ht="12.75" x14ac:dyDescent="0.2">
      <c r="A487" s="487"/>
      <c r="B487" s="487"/>
      <c r="C487" s="487"/>
      <c r="D487" s="487"/>
      <c r="E487" s="487"/>
      <c r="F487" s="487"/>
      <c r="G487" s="487"/>
      <c r="H487" s="487"/>
      <c r="I487" s="487"/>
      <c r="J487" s="487"/>
      <c r="K487" s="487"/>
      <c r="L487" s="487"/>
      <c r="M487" s="487"/>
      <c r="N487" s="487"/>
      <c r="O487" s="487"/>
      <c r="P487" s="487"/>
    </row>
    <row r="488" spans="1:16" ht="12.75" x14ac:dyDescent="0.2">
      <c r="A488" s="487"/>
      <c r="B488" s="487"/>
      <c r="C488" s="487"/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7"/>
    </row>
    <row r="489" spans="1:16" ht="12.75" x14ac:dyDescent="0.2">
      <c r="A489" s="487"/>
      <c r="B489" s="487"/>
      <c r="C489" s="487"/>
      <c r="D489" s="487"/>
      <c r="E489" s="487"/>
      <c r="F489" s="487"/>
      <c r="G489" s="487"/>
      <c r="H489" s="487"/>
      <c r="I489" s="487"/>
      <c r="J489" s="487"/>
      <c r="K489" s="487"/>
      <c r="L489" s="487"/>
      <c r="M489" s="487"/>
      <c r="N489" s="487"/>
      <c r="O489" s="487"/>
      <c r="P489" s="487"/>
    </row>
    <row r="490" spans="1:16" ht="12.75" x14ac:dyDescent="0.2">
      <c r="A490" s="487"/>
      <c r="B490" s="487"/>
      <c r="C490" s="487"/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7"/>
    </row>
    <row r="491" spans="1:16" ht="12.75" x14ac:dyDescent="0.2">
      <c r="A491" s="487"/>
      <c r="B491" s="487"/>
      <c r="C491" s="487"/>
      <c r="D491" s="487"/>
      <c r="E491" s="487"/>
      <c r="F491" s="487"/>
      <c r="G491" s="487"/>
      <c r="H491" s="487"/>
      <c r="I491" s="487"/>
      <c r="J491" s="487"/>
      <c r="K491" s="487"/>
      <c r="L491" s="487"/>
      <c r="M491" s="487"/>
      <c r="N491" s="487"/>
      <c r="O491" s="487"/>
      <c r="P491" s="487"/>
    </row>
    <row r="492" spans="1:16" ht="12.75" x14ac:dyDescent="0.2">
      <c r="A492" s="487"/>
      <c r="B492" s="487"/>
      <c r="C492" s="487"/>
      <c r="D492" s="487"/>
      <c r="E492" s="487"/>
      <c r="F492" s="487"/>
      <c r="G492" s="487"/>
      <c r="H492" s="487"/>
      <c r="I492" s="487"/>
      <c r="J492" s="487"/>
      <c r="K492" s="487"/>
      <c r="L492" s="487"/>
      <c r="M492" s="487"/>
      <c r="N492" s="487"/>
      <c r="O492" s="487"/>
      <c r="P492" s="487"/>
    </row>
    <row r="493" spans="1:16" ht="12.75" x14ac:dyDescent="0.2">
      <c r="A493" s="487"/>
      <c r="B493" s="487"/>
      <c r="C493" s="487"/>
      <c r="D493" s="487"/>
      <c r="E493" s="487"/>
      <c r="F493" s="487"/>
      <c r="G493" s="487"/>
      <c r="H493" s="487"/>
      <c r="I493" s="487"/>
      <c r="J493" s="487"/>
      <c r="K493" s="487"/>
      <c r="L493" s="487"/>
      <c r="M493" s="487"/>
      <c r="N493" s="487"/>
      <c r="O493" s="487"/>
      <c r="P493" s="487"/>
    </row>
    <row r="494" spans="1:16" ht="12.75" x14ac:dyDescent="0.2">
      <c r="A494" s="487"/>
      <c r="B494" s="487"/>
      <c r="C494" s="487"/>
      <c r="D494" s="487"/>
      <c r="E494" s="487"/>
      <c r="F494" s="487"/>
      <c r="G494" s="487"/>
      <c r="H494" s="487"/>
      <c r="I494" s="487"/>
      <c r="J494" s="487"/>
      <c r="K494" s="487"/>
      <c r="L494" s="487"/>
      <c r="M494" s="487"/>
      <c r="N494" s="487"/>
      <c r="O494" s="487"/>
      <c r="P494" s="487"/>
    </row>
    <row r="495" spans="1:16" ht="12.75" x14ac:dyDescent="0.2">
      <c r="A495" s="487"/>
      <c r="B495" s="487"/>
      <c r="C495" s="487"/>
      <c r="D495" s="487"/>
      <c r="E495" s="487"/>
      <c r="F495" s="487"/>
      <c r="G495" s="487"/>
      <c r="H495" s="487"/>
      <c r="I495" s="487"/>
      <c r="J495" s="487"/>
      <c r="K495" s="487"/>
      <c r="L495" s="487"/>
      <c r="M495" s="487"/>
      <c r="N495" s="487"/>
      <c r="O495" s="487"/>
      <c r="P495" s="487"/>
    </row>
    <row r="496" spans="1:16" ht="12.75" x14ac:dyDescent="0.2">
      <c r="A496" s="487"/>
      <c r="B496" s="487"/>
      <c r="C496" s="487"/>
      <c r="D496" s="487"/>
      <c r="E496" s="487"/>
      <c r="F496" s="487"/>
      <c r="G496" s="487"/>
      <c r="H496" s="487"/>
      <c r="I496" s="487"/>
      <c r="J496" s="487"/>
      <c r="K496" s="487"/>
      <c r="L496" s="487"/>
      <c r="M496" s="487"/>
      <c r="N496" s="487"/>
      <c r="O496" s="487"/>
      <c r="P496" s="487"/>
    </row>
    <row r="497" spans="1:16" ht="12.75" x14ac:dyDescent="0.2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87"/>
    </row>
    <row r="498" spans="1:16" ht="12.75" x14ac:dyDescent="0.2">
      <c r="A498" s="487"/>
      <c r="B498" s="487"/>
      <c r="C498" s="487"/>
      <c r="D498" s="487"/>
      <c r="E498" s="487"/>
      <c r="F498" s="487"/>
      <c r="G498" s="487"/>
      <c r="H498" s="487"/>
      <c r="I498" s="487"/>
      <c r="J498" s="487"/>
      <c r="K498" s="487"/>
      <c r="L498" s="487"/>
      <c r="M498" s="487"/>
      <c r="N498" s="487"/>
      <c r="O498" s="487"/>
      <c r="P498" s="487"/>
    </row>
    <row r="499" spans="1:16" ht="12.75" x14ac:dyDescent="0.2">
      <c r="A499" s="487"/>
      <c r="B499" s="487"/>
      <c r="C499" s="487"/>
      <c r="D499" s="487"/>
      <c r="E499" s="487"/>
      <c r="F499" s="487"/>
      <c r="G499" s="487"/>
      <c r="H499" s="487"/>
      <c r="I499" s="487"/>
      <c r="J499" s="487"/>
      <c r="K499" s="487"/>
      <c r="L499" s="487"/>
      <c r="M499" s="487"/>
      <c r="N499" s="487"/>
      <c r="O499" s="487"/>
      <c r="P499" s="487"/>
    </row>
    <row r="500" spans="1:16" ht="12.75" x14ac:dyDescent="0.2">
      <c r="A500" s="487"/>
      <c r="B500" s="487"/>
      <c r="C500" s="487"/>
      <c r="D500" s="487"/>
      <c r="E500" s="487"/>
      <c r="F500" s="487"/>
      <c r="G500" s="487"/>
      <c r="H500" s="487"/>
      <c r="I500" s="487"/>
      <c r="J500" s="487"/>
      <c r="K500" s="487"/>
      <c r="L500" s="487"/>
      <c r="M500" s="487"/>
      <c r="N500" s="487"/>
      <c r="O500" s="487"/>
      <c r="P500" s="487"/>
    </row>
    <row r="501" spans="1:16" ht="12.75" x14ac:dyDescent="0.2">
      <c r="A501" s="487"/>
      <c r="B501" s="487"/>
      <c r="C501" s="487"/>
      <c r="D501" s="487"/>
      <c r="E501" s="487"/>
      <c r="F501" s="487"/>
      <c r="G501" s="487"/>
      <c r="H501" s="487"/>
      <c r="I501" s="487"/>
      <c r="J501" s="487"/>
      <c r="K501" s="487"/>
      <c r="L501" s="487"/>
      <c r="M501" s="487"/>
      <c r="N501" s="487"/>
      <c r="O501" s="487"/>
      <c r="P501" s="487"/>
    </row>
    <row r="502" spans="1:16" ht="12.75" x14ac:dyDescent="0.2">
      <c r="A502" s="487"/>
      <c r="B502" s="487"/>
      <c r="C502" s="487"/>
      <c r="D502" s="487"/>
      <c r="E502" s="487"/>
      <c r="F502" s="487"/>
      <c r="G502" s="487"/>
      <c r="H502" s="487"/>
      <c r="I502" s="487"/>
      <c r="J502" s="487"/>
      <c r="K502" s="487"/>
      <c r="L502" s="487"/>
      <c r="M502" s="487"/>
      <c r="N502" s="487"/>
      <c r="O502" s="487"/>
      <c r="P502" s="487"/>
    </row>
    <row r="503" spans="1:16" ht="12.75" x14ac:dyDescent="0.2">
      <c r="A503" s="487"/>
      <c r="B503" s="487"/>
      <c r="C503" s="487"/>
      <c r="D503" s="487"/>
      <c r="E503" s="487"/>
      <c r="F503" s="487"/>
      <c r="G503" s="487"/>
      <c r="H503" s="487"/>
      <c r="I503" s="487"/>
      <c r="J503" s="487"/>
      <c r="K503" s="487"/>
      <c r="L503" s="487"/>
      <c r="M503" s="487"/>
      <c r="N503" s="487"/>
      <c r="O503" s="487"/>
      <c r="P503" s="487"/>
    </row>
    <row r="504" spans="1:16" ht="12.75" x14ac:dyDescent="0.2">
      <c r="A504" s="487"/>
      <c r="B504" s="487"/>
      <c r="C504" s="487"/>
      <c r="D504" s="487"/>
      <c r="E504" s="487"/>
      <c r="F504" s="487"/>
      <c r="G504" s="487"/>
      <c r="H504" s="487"/>
      <c r="I504" s="487"/>
      <c r="J504" s="487"/>
      <c r="K504" s="487"/>
      <c r="L504" s="487"/>
      <c r="M504" s="487"/>
      <c r="N504" s="487"/>
      <c r="O504" s="487"/>
      <c r="P504" s="487"/>
    </row>
    <row r="505" spans="1:16" ht="12.75" x14ac:dyDescent="0.2">
      <c r="A505" s="487"/>
      <c r="B505" s="487"/>
      <c r="C505" s="487"/>
      <c r="D505" s="487"/>
      <c r="E505" s="487"/>
      <c r="F505" s="487"/>
      <c r="G505" s="487"/>
      <c r="H505" s="487"/>
      <c r="I505" s="487"/>
      <c r="J505" s="487"/>
      <c r="K505" s="487"/>
      <c r="L505" s="487"/>
      <c r="M505" s="487"/>
      <c r="N505" s="487"/>
      <c r="O505" s="487"/>
      <c r="P505" s="487"/>
    </row>
    <row r="506" spans="1:16" ht="12.75" x14ac:dyDescent="0.2">
      <c r="A506" s="487"/>
      <c r="B506" s="487"/>
      <c r="C506" s="487"/>
      <c r="D506" s="487"/>
      <c r="E506" s="487"/>
      <c r="F506" s="487"/>
      <c r="G506" s="487"/>
      <c r="H506" s="487"/>
      <c r="I506" s="487"/>
      <c r="J506" s="487"/>
      <c r="K506" s="487"/>
      <c r="L506" s="487"/>
      <c r="M506" s="487"/>
      <c r="N506" s="487"/>
      <c r="O506" s="487"/>
      <c r="P506" s="487"/>
    </row>
    <row r="507" spans="1:16" ht="12.75" x14ac:dyDescent="0.2">
      <c r="A507" s="487"/>
      <c r="B507" s="487"/>
      <c r="C507" s="487"/>
      <c r="D507" s="487"/>
      <c r="E507" s="487"/>
      <c r="F507" s="487"/>
      <c r="G507" s="487"/>
      <c r="H507" s="487"/>
      <c r="I507" s="487"/>
      <c r="J507" s="487"/>
      <c r="K507" s="487"/>
      <c r="L507" s="487"/>
      <c r="M507" s="487"/>
      <c r="N507" s="487"/>
      <c r="O507" s="487"/>
      <c r="P507" s="487"/>
    </row>
    <row r="508" spans="1:16" ht="12.75" x14ac:dyDescent="0.2">
      <c r="A508" s="487"/>
      <c r="B508" s="487"/>
      <c r="C508" s="487"/>
      <c r="D508" s="487"/>
      <c r="E508" s="487"/>
      <c r="F508" s="487"/>
      <c r="G508" s="487"/>
      <c r="H508" s="487"/>
      <c r="I508" s="487"/>
      <c r="J508" s="487"/>
      <c r="K508" s="487"/>
      <c r="L508" s="487"/>
      <c r="M508" s="487"/>
      <c r="N508" s="487"/>
      <c r="O508" s="487"/>
      <c r="P508" s="487"/>
    </row>
    <row r="509" spans="1:16" ht="12.75" x14ac:dyDescent="0.2">
      <c r="A509" s="487"/>
      <c r="B509" s="487"/>
      <c r="C509" s="487"/>
      <c r="D509" s="487"/>
      <c r="E509" s="487"/>
      <c r="F509" s="487"/>
      <c r="G509" s="487"/>
      <c r="H509" s="487"/>
      <c r="I509" s="487"/>
      <c r="J509" s="487"/>
      <c r="K509" s="487"/>
      <c r="L509" s="487"/>
      <c r="M509" s="487"/>
      <c r="N509" s="487"/>
      <c r="O509" s="487"/>
      <c r="P509" s="487"/>
    </row>
    <row r="510" spans="1:16" ht="12.75" x14ac:dyDescent="0.2">
      <c r="A510" s="487"/>
      <c r="B510" s="487"/>
      <c r="C510" s="487"/>
      <c r="D510" s="487"/>
      <c r="E510" s="487"/>
      <c r="F510" s="487"/>
      <c r="G510" s="487"/>
      <c r="H510" s="487"/>
      <c r="I510" s="487"/>
      <c r="J510" s="487"/>
      <c r="K510" s="487"/>
      <c r="L510" s="487"/>
      <c r="M510" s="487"/>
      <c r="N510" s="487"/>
      <c r="O510" s="487"/>
      <c r="P510" s="487"/>
    </row>
    <row r="511" spans="1:16" ht="12.75" x14ac:dyDescent="0.2">
      <c r="A511" s="487"/>
      <c r="B511" s="487"/>
      <c r="C511" s="487"/>
      <c r="D511" s="487"/>
      <c r="E511" s="487"/>
      <c r="F511" s="487"/>
      <c r="G511" s="487"/>
      <c r="H511" s="487"/>
      <c r="I511" s="487"/>
      <c r="J511" s="487"/>
      <c r="K511" s="487"/>
      <c r="L511" s="487"/>
      <c r="M511" s="487"/>
      <c r="N511" s="487"/>
      <c r="O511" s="487"/>
      <c r="P511" s="487"/>
    </row>
    <row r="512" spans="1:16" ht="12.75" x14ac:dyDescent="0.2">
      <c r="A512" s="487"/>
      <c r="B512" s="487"/>
      <c r="C512" s="487"/>
      <c r="D512" s="487"/>
      <c r="E512" s="487"/>
      <c r="F512" s="487"/>
      <c r="G512" s="487"/>
      <c r="H512" s="487"/>
      <c r="I512" s="487"/>
      <c r="J512" s="487"/>
      <c r="K512" s="487"/>
      <c r="L512" s="487"/>
      <c r="M512" s="487"/>
      <c r="N512" s="487"/>
      <c r="O512" s="487"/>
      <c r="P512" s="487"/>
    </row>
    <row r="513" spans="1:16" ht="12.75" x14ac:dyDescent="0.2">
      <c r="A513" s="487"/>
      <c r="B513" s="487"/>
      <c r="C513" s="487"/>
      <c r="D513" s="487"/>
      <c r="E513" s="487"/>
      <c r="F513" s="487"/>
      <c r="G513" s="487"/>
      <c r="H513" s="487"/>
      <c r="I513" s="487"/>
      <c r="J513" s="487"/>
      <c r="K513" s="487"/>
      <c r="L513" s="487"/>
      <c r="M513" s="487"/>
      <c r="N513" s="487"/>
      <c r="O513" s="487"/>
      <c r="P513" s="487"/>
    </row>
    <row r="514" spans="1:16" ht="12.75" x14ac:dyDescent="0.2">
      <c r="A514" s="487"/>
      <c r="B514" s="487"/>
      <c r="C514" s="487"/>
      <c r="D514" s="487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487"/>
      <c r="P514" s="487"/>
    </row>
    <row r="515" spans="1:16" ht="12.75" x14ac:dyDescent="0.2">
      <c r="A515" s="487"/>
      <c r="B515" s="487"/>
      <c r="C515" s="487"/>
      <c r="D515" s="487"/>
      <c r="E515" s="487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</row>
    <row r="516" spans="1:16" ht="12.75" x14ac:dyDescent="0.2">
      <c r="A516" s="487"/>
      <c r="B516" s="487"/>
      <c r="C516" s="487"/>
      <c r="D516" s="487"/>
      <c r="E516" s="487"/>
      <c r="F516" s="487"/>
      <c r="G516" s="487"/>
      <c r="H516" s="487"/>
      <c r="I516" s="487"/>
      <c r="J516" s="487"/>
      <c r="K516" s="487"/>
      <c r="L516" s="487"/>
      <c r="M516" s="487"/>
      <c r="N516" s="487"/>
      <c r="O516" s="487"/>
      <c r="P516" s="487"/>
    </row>
    <row r="517" spans="1:16" ht="12.75" x14ac:dyDescent="0.2">
      <c r="A517" s="487"/>
      <c r="B517" s="487"/>
      <c r="C517" s="487"/>
      <c r="D517" s="487"/>
      <c r="E517" s="487"/>
      <c r="F517" s="487"/>
      <c r="G517" s="487"/>
      <c r="H517" s="487"/>
      <c r="I517" s="487"/>
      <c r="J517" s="487"/>
      <c r="K517" s="487"/>
      <c r="L517" s="487"/>
      <c r="M517" s="487"/>
      <c r="N517" s="487"/>
      <c r="O517" s="487"/>
      <c r="P517" s="487"/>
    </row>
    <row r="518" spans="1:16" ht="12.75" x14ac:dyDescent="0.2">
      <c r="A518" s="487"/>
      <c r="B518" s="487"/>
      <c r="C518" s="487"/>
      <c r="D518" s="487"/>
      <c r="E518" s="487"/>
      <c r="F518" s="487"/>
      <c r="G518" s="487"/>
      <c r="H518" s="487"/>
      <c r="I518" s="487"/>
      <c r="J518" s="487"/>
      <c r="K518" s="487"/>
      <c r="L518" s="487"/>
      <c r="M518" s="487"/>
      <c r="N518" s="487"/>
      <c r="O518" s="487"/>
      <c r="P518" s="487"/>
    </row>
    <row r="519" spans="1:16" ht="12.75" x14ac:dyDescent="0.2">
      <c r="A519" s="487"/>
      <c r="B519" s="487"/>
      <c r="C519" s="487"/>
      <c r="D519" s="487"/>
      <c r="E519" s="487"/>
      <c r="F519" s="487"/>
      <c r="G519" s="487"/>
      <c r="H519" s="487"/>
      <c r="I519" s="487"/>
      <c r="J519" s="487"/>
      <c r="K519" s="487"/>
      <c r="L519" s="487"/>
      <c r="M519" s="487"/>
      <c r="N519" s="487"/>
      <c r="O519" s="487"/>
      <c r="P519" s="487"/>
    </row>
    <row r="520" spans="1:16" ht="12.75" x14ac:dyDescent="0.2">
      <c r="A520" s="487"/>
      <c r="B520" s="487"/>
      <c r="C520" s="487"/>
      <c r="D520" s="487"/>
      <c r="E520" s="487"/>
      <c r="F520" s="487"/>
      <c r="G520" s="487"/>
      <c r="H520" s="487"/>
      <c r="I520" s="487"/>
      <c r="J520" s="487"/>
      <c r="K520" s="487"/>
      <c r="L520" s="487"/>
      <c r="M520" s="487"/>
      <c r="N520" s="487"/>
      <c r="O520" s="487"/>
      <c r="P520" s="487"/>
    </row>
    <row r="521" spans="1:16" ht="12.75" x14ac:dyDescent="0.2">
      <c r="A521" s="487"/>
      <c r="B521" s="487"/>
      <c r="C521" s="487"/>
      <c r="D521" s="487"/>
      <c r="E521" s="487"/>
      <c r="F521" s="487"/>
      <c r="G521" s="487"/>
      <c r="H521" s="487"/>
      <c r="I521" s="487"/>
      <c r="J521" s="487"/>
      <c r="K521" s="487"/>
      <c r="L521" s="487"/>
      <c r="M521" s="487"/>
      <c r="N521" s="487"/>
      <c r="O521" s="487"/>
      <c r="P521" s="487"/>
    </row>
    <row r="522" spans="1:16" ht="12.75" x14ac:dyDescent="0.2">
      <c r="A522" s="487"/>
      <c r="B522" s="487"/>
      <c r="C522" s="487"/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7"/>
      <c r="P522" s="487"/>
    </row>
    <row r="523" spans="1:16" ht="12.75" x14ac:dyDescent="0.2">
      <c r="A523" s="487"/>
      <c r="B523" s="487"/>
      <c r="C523" s="487"/>
      <c r="D523" s="487"/>
      <c r="E523" s="487"/>
      <c r="F523" s="487"/>
      <c r="G523" s="487"/>
      <c r="H523" s="487"/>
      <c r="I523" s="487"/>
      <c r="J523" s="487"/>
      <c r="K523" s="487"/>
      <c r="L523" s="487"/>
      <c r="M523" s="487"/>
      <c r="N523" s="487"/>
      <c r="O523" s="487"/>
      <c r="P523" s="487"/>
    </row>
    <row r="524" spans="1:16" ht="12.75" x14ac:dyDescent="0.2">
      <c r="A524" s="487"/>
      <c r="B524" s="487"/>
      <c r="C524" s="487"/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7"/>
      <c r="P524" s="487"/>
    </row>
    <row r="525" spans="1:16" ht="12.75" x14ac:dyDescent="0.2">
      <c r="A525" s="487"/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</row>
    <row r="526" spans="1:16" ht="12.75" x14ac:dyDescent="0.2">
      <c r="A526" s="487"/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</row>
    <row r="527" spans="1:16" ht="12.75" x14ac:dyDescent="0.2">
      <c r="A527" s="487"/>
      <c r="B527" s="487"/>
      <c r="C527" s="487"/>
      <c r="D527" s="487"/>
      <c r="E527" s="487"/>
      <c r="F527" s="487"/>
      <c r="G527" s="487"/>
      <c r="H527" s="487"/>
      <c r="I527" s="487"/>
      <c r="J527" s="487"/>
      <c r="K527" s="487"/>
      <c r="L527" s="487"/>
      <c r="M527" s="487"/>
      <c r="N527" s="487"/>
      <c r="O527" s="487"/>
      <c r="P527" s="487"/>
    </row>
    <row r="528" spans="1:16" ht="12.75" x14ac:dyDescent="0.2">
      <c r="A528" s="487"/>
      <c r="B528" s="487"/>
      <c r="C528" s="487"/>
      <c r="D528" s="487"/>
      <c r="E528" s="487"/>
      <c r="F528" s="487"/>
      <c r="G528" s="487"/>
      <c r="H528" s="487"/>
      <c r="I528" s="487"/>
      <c r="J528" s="487"/>
      <c r="K528" s="487"/>
      <c r="L528" s="487"/>
      <c r="M528" s="487"/>
      <c r="N528" s="487"/>
      <c r="O528" s="487"/>
      <c r="P528" s="487"/>
    </row>
    <row r="529" spans="1:16" ht="12.75" x14ac:dyDescent="0.2">
      <c r="A529" s="487"/>
      <c r="B529" s="487"/>
      <c r="C529" s="487"/>
      <c r="D529" s="487"/>
      <c r="E529" s="487"/>
      <c r="F529" s="487"/>
      <c r="G529" s="487"/>
      <c r="H529" s="487"/>
      <c r="I529" s="487"/>
      <c r="J529" s="487"/>
      <c r="K529" s="487"/>
      <c r="L529" s="487"/>
      <c r="M529" s="487"/>
      <c r="N529" s="487"/>
      <c r="O529" s="487"/>
      <c r="P529" s="487"/>
    </row>
    <row r="530" spans="1:16" ht="12.75" x14ac:dyDescent="0.2">
      <c r="A530" s="487"/>
      <c r="B530" s="487"/>
      <c r="C530" s="487"/>
      <c r="D530" s="487"/>
      <c r="E530" s="487"/>
      <c r="F530" s="487"/>
      <c r="G530" s="487"/>
      <c r="H530" s="487"/>
      <c r="I530" s="487"/>
      <c r="J530" s="487"/>
      <c r="K530" s="487"/>
      <c r="L530" s="487"/>
      <c r="M530" s="487"/>
      <c r="N530" s="487"/>
      <c r="O530" s="487"/>
      <c r="P530" s="487"/>
    </row>
    <row r="531" spans="1:16" ht="12.75" x14ac:dyDescent="0.2">
      <c r="A531" s="487"/>
      <c r="B531" s="487"/>
      <c r="C531" s="487"/>
      <c r="D531" s="487"/>
      <c r="E531" s="487"/>
      <c r="F531" s="487"/>
      <c r="G531" s="487"/>
      <c r="H531" s="487"/>
      <c r="I531" s="487"/>
      <c r="J531" s="487"/>
      <c r="K531" s="487"/>
      <c r="L531" s="487"/>
      <c r="M531" s="487"/>
      <c r="N531" s="487"/>
      <c r="O531" s="487"/>
      <c r="P531" s="487"/>
    </row>
    <row r="532" spans="1:16" ht="12.75" x14ac:dyDescent="0.2">
      <c r="A532" s="487"/>
      <c r="B532" s="487"/>
      <c r="C532" s="487"/>
      <c r="D532" s="487"/>
      <c r="E532" s="487"/>
      <c r="F532" s="487"/>
      <c r="G532" s="487"/>
      <c r="H532" s="487"/>
      <c r="I532" s="487"/>
      <c r="J532" s="487"/>
      <c r="K532" s="487"/>
      <c r="L532" s="487"/>
      <c r="M532" s="487"/>
      <c r="N532" s="487"/>
      <c r="O532" s="487"/>
      <c r="P532" s="487"/>
    </row>
    <row r="533" spans="1:16" ht="12.75" x14ac:dyDescent="0.2">
      <c r="A533" s="487"/>
      <c r="B533" s="487"/>
      <c r="C533" s="487"/>
      <c r="D533" s="487"/>
      <c r="E533" s="487"/>
      <c r="F533" s="487"/>
      <c r="G533" s="487"/>
      <c r="H533" s="487"/>
      <c r="I533" s="487"/>
      <c r="J533" s="487"/>
      <c r="K533" s="487"/>
      <c r="L533" s="487"/>
      <c r="M533" s="487"/>
      <c r="N533" s="487"/>
      <c r="O533" s="487"/>
      <c r="P533" s="487"/>
    </row>
    <row r="534" spans="1:16" ht="12.75" x14ac:dyDescent="0.2">
      <c r="A534" s="487"/>
      <c r="B534" s="487"/>
      <c r="C534" s="487"/>
      <c r="D534" s="487"/>
      <c r="E534" s="487"/>
      <c r="F534" s="487"/>
      <c r="G534" s="487"/>
      <c r="H534" s="487"/>
      <c r="I534" s="487"/>
      <c r="J534" s="487"/>
      <c r="K534" s="487"/>
      <c r="L534" s="487"/>
      <c r="M534" s="487"/>
      <c r="N534" s="487"/>
      <c r="O534" s="487"/>
      <c r="P534" s="487"/>
    </row>
    <row r="535" spans="1:16" ht="12.75" x14ac:dyDescent="0.2">
      <c r="A535" s="487"/>
      <c r="B535" s="487"/>
      <c r="C535" s="487"/>
      <c r="D535" s="487"/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</row>
    <row r="536" spans="1:16" ht="12.75" x14ac:dyDescent="0.2">
      <c r="A536" s="487"/>
      <c r="B536" s="487"/>
      <c r="C536" s="487"/>
      <c r="D536" s="487"/>
      <c r="E536" s="487"/>
      <c r="F536" s="487"/>
      <c r="G536" s="487"/>
      <c r="H536" s="487"/>
      <c r="I536" s="487"/>
      <c r="J536" s="487"/>
      <c r="K536" s="487"/>
      <c r="L536" s="487"/>
      <c r="M536" s="487"/>
      <c r="N536" s="487"/>
      <c r="O536" s="487"/>
      <c r="P536" s="487"/>
    </row>
    <row r="537" spans="1:16" ht="12.75" x14ac:dyDescent="0.2">
      <c r="A537" s="487"/>
      <c r="B537" s="487"/>
      <c r="C537" s="487"/>
      <c r="D537" s="487"/>
      <c r="E537" s="487"/>
      <c r="F537" s="487"/>
      <c r="G537" s="487"/>
      <c r="H537" s="487"/>
      <c r="I537" s="487"/>
      <c r="J537" s="487"/>
      <c r="K537" s="487"/>
      <c r="L537" s="487"/>
      <c r="M537" s="487"/>
      <c r="N537" s="487"/>
      <c r="O537" s="487"/>
      <c r="P537" s="487"/>
    </row>
    <row r="538" spans="1:16" ht="12.75" x14ac:dyDescent="0.2">
      <c r="A538" s="487"/>
      <c r="B538" s="487"/>
      <c r="C538" s="487"/>
      <c r="D538" s="487"/>
      <c r="E538" s="487"/>
      <c r="F538" s="487"/>
      <c r="G538" s="487"/>
      <c r="H538" s="487"/>
      <c r="I538" s="487"/>
      <c r="J538" s="487"/>
      <c r="K538" s="487"/>
      <c r="L538" s="487"/>
      <c r="M538" s="487"/>
      <c r="N538" s="487"/>
      <c r="O538" s="487"/>
      <c r="P538" s="487"/>
    </row>
    <row r="539" spans="1:16" ht="12.75" x14ac:dyDescent="0.2">
      <c r="A539" s="487"/>
      <c r="B539" s="487"/>
      <c r="C539" s="487"/>
      <c r="D539" s="487"/>
      <c r="E539" s="487"/>
      <c r="F539" s="487"/>
      <c r="G539" s="487"/>
      <c r="H539" s="487"/>
      <c r="I539" s="487"/>
      <c r="J539" s="487"/>
      <c r="K539" s="487"/>
      <c r="L539" s="487"/>
      <c r="M539" s="487"/>
      <c r="N539" s="487"/>
      <c r="O539" s="487"/>
      <c r="P539" s="487"/>
    </row>
    <row r="540" spans="1:16" ht="12.75" x14ac:dyDescent="0.2">
      <c r="A540" s="487"/>
      <c r="B540" s="487"/>
      <c r="C540" s="487"/>
      <c r="D540" s="487"/>
      <c r="E540" s="487"/>
      <c r="F540" s="487"/>
      <c r="G540" s="487"/>
      <c r="H540" s="487"/>
      <c r="I540" s="487"/>
      <c r="J540" s="487"/>
      <c r="K540" s="487"/>
      <c r="L540" s="487"/>
      <c r="M540" s="487"/>
      <c r="N540" s="487"/>
      <c r="O540" s="487"/>
      <c r="P540" s="487"/>
    </row>
    <row r="541" spans="1:16" ht="12.75" x14ac:dyDescent="0.2">
      <c r="A541" s="487"/>
      <c r="B541" s="487"/>
      <c r="C541" s="487"/>
      <c r="D541" s="487"/>
      <c r="E541" s="487"/>
      <c r="F541" s="487"/>
      <c r="G541" s="487"/>
      <c r="H541" s="487"/>
      <c r="I541" s="487"/>
      <c r="J541" s="487"/>
      <c r="K541" s="487"/>
      <c r="L541" s="487"/>
      <c r="M541" s="487"/>
      <c r="N541" s="487"/>
      <c r="O541" s="487"/>
      <c r="P541" s="487"/>
    </row>
    <row r="542" spans="1:16" ht="12.75" x14ac:dyDescent="0.2">
      <c r="A542" s="487"/>
      <c r="B542" s="487"/>
      <c r="C542" s="487"/>
      <c r="D542" s="487"/>
      <c r="E542" s="487"/>
      <c r="F542" s="487"/>
      <c r="G542" s="487"/>
      <c r="H542" s="487"/>
      <c r="I542" s="487"/>
      <c r="J542" s="487"/>
      <c r="K542" s="487"/>
      <c r="L542" s="487"/>
      <c r="M542" s="487"/>
      <c r="N542" s="487"/>
      <c r="O542" s="487"/>
      <c r="P542" s="487"/>
    </row>
    <row r="543" spans="1:16" ht="12.75" x14ac:dyDescent="0.2">
      <c r="A543" s="487"/>
      <c r="B543" s="487"/>
      <c r="C543" s="487"/>
      <c r="D543" s="487"/>
      <c r="E543" s="487"/>
      <c r="F543" s="487"/>
      <c r="G543" s="487"/>
      <c r="H543" s="487"/>
      <c r="I543" s="487"/>
      <c r="J543" s="487"/>
      <c r="K543" s="487"/>
      <c r="L543" s="487"/>
      <c r="M543" s="487"/>
      <c r="N543" s="487"/>
      <c r="O543" s="487"/>
      <c r="P543" s="487"/>
    </row>
    <row r="544" spans="1:16" ht="12.75" x14ac:dyDescent="0.2">
      <c r="A544" s="487"/>
      <c r="B544" s="487"/>
      <c r="C544" s="487"/>
      <c r="D544" s="487"/>
      <c r="E544" s="487"/>
      <c r="F544" s="487"/>
      <c r="G544" s="487"/>
      <c r="H544" s="487"/>
      <c r="I544" s="487"/>
      <c r="J544" s="487"/>
      <c r="K544" s="487"/>
      <c r="L544" s="487"/>
      <c r="M544" s="487"/>
      <c r="N544" s="487"/>
      <c r="O544" s="487"/>
      <c r="P544" s="487"/>
    </row>
    <row r="545" spans="1:16" ht="12.75" x14ac:dyDescent="0.2">
      <c r="A545" s="487"/>
      <c r="B545" s="487"/>
      <c r="C545" s="487"/>
      <c r="D545" s="487"/>
      <c r="E545" s="487"/>
      <c r="F545" s="487"/>
      <c r="G545" s="487"/>
      <c r="H545" s="487"/>
      <c r="I545" s="487"/>
      <c r="J545" s="487"/>
      <c r="K545" s="487"/>
      <c r="L545" s="487"/>
      <c r="M545" s="487"/>
      <c r="N545" s="487"/>
      <c r="O545" s="487"/>
      <c r="P545" s="487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fitToHeight="0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C524C-676D-44EA-BCEA-4408D562E880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272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1234275</v>
      </c>
      <c r="M18" s="843">
        <f ca="1">M19+M20</f>
        <v>980475</v>
      </c>
      <c r="N18" s="843">
        <f ca="1">N19+N20</f>
        <v>565898.75</v>
      </c>
      <c r="O18" s="843">
        <f t="shared" ref="O18:O26" ca="1" si="0">IF(L18&gt;0,N18*100/L18,0)</f>
        <v>45.84867634846367</v>
      </c>
      <c r="P18" s="843">
        <f t="shared" ref="P18:P26" ca="1" si="1">IF(M18&gt;0,N18*100/M18,0)</f>
        <v>57.7167954307861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1234275</v>
      </c>
      <c r="M20" s="947">
        <f t="shared" ca="1" si="2"/>
        <v>980475</v>
      </c>
      <c r="N20" s="947">
        <f t="shared" ca="1" si="2"/>
        <v>565898.75</v>
      </c>
      <c r="O20" s="947">
        <f t="shared" ca="1" si="0"/>
        <v>45.84867634846367</v>
      </c>
      <c r="P20" s="947">
        <f t="shared" ca="1" si="1"/>
        <v>57.7167954307861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1234275</v>
      </c>
      <c r="M21" s="427">
        <f ca="1">M22+M23</f>
        <v>980475</v>
      </c>
      <c r="N21" s="427">
        <f ca="1">N22+N23</f>
        <v>565898.75</v>
      </c>
      <c r="O21" s="427">
        <f t="shared" ca="1" si="0"/>
        <v>45.84867634846367</v>
      </c>
      <c r="P21" s="427">
        <f t="shared" ca="1" si="1"/>
        <v>57.7167954307861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1234275</v>
      </c>
      <c r="M23" s="427">
        <f t="shared" ca="1" si="3"/>
        <v>980475</v>
      </c>
      <c r="N23" s="427">
        <f t="shared" ca="1" si="3"/>
        <v>565898.75</v>
      </c>
      <c r="O23" s="427">
        <f t="shared" ca="1" si="0"/>
        <v>45.84867634846367</v>
      </c>
      <c r="P23" s="427">
        <f t="shared" ca="1" si="1"/>
        <v>57.7167954307861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1234275</v>
      </c>
      <c r="M40" s="940">
        <f ca="1">M44+M59+M72+M94+M125+M139+M157+M173+M186+M266+M282+M303+M320+M333+M356</f>
        <v>980475</v>
      </c>
      <c r="N40" s="940">
        <f ca="1">N44+N59+N72+N94+N125+N139+N157+N173+N186+N266+N282+N303+N320+N333+N356</f>
        <v>565898.75</v>
      </c>
      <c r="O40" s="940">
        <f ca="1">IF(L40&gt;0,N40*100/L40,0)</f>
        <v>45.84867634846367</v>
      </c>
      <c r="P40" s="940">
        <f ca="1">IF(M40&gt;0,N40*100/M40,0)</f>
        <v>57.7167954307861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204500</v>
      </c>
      <c r="M44" s="925">
        <f ca="1">M45+M46</f>
        <v>209000</v>
      </c>
      <c r="N44" s="925">
        <f ca="1">N45+N46</f>
        <v>70850</v>
      </c>
      <c r="O44" s="925">
        <f t="shared" ref="O44:O52" ca="1" si="5">IF(L44&gt;0,N44*100/L44,0)</f>
        <v>34.645476772616135</v>
      </c>
      <c r="P44" s="925">
        <f t="shared" ref="P44:P52" ca="1" si="6">IF(M44&gt;0,N44*100/M44,0)</f>
        <v>33.899521531100476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204500</v>
      </c>
      <c r="M46" s="917">
        <f t="shared" ca="1" si="7"/>
        <v>209000</v>
      </c>
      <c r="N46" s="917">
        <f t="shared" ca="1" si="7"/>
        <v>70850</v>
      </c>
      <c r="O46" s="917">
        <f t="shared" ca="1" si="5"/>
        <v>34.645476772616135</v>
      </c>
      <c r="P46" s="917">
        <f t="shared" ca="1" si="6"/>
        <v>33.899521531100476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204500</v>
      </c>
      <c r="M47" s="427">
        <f ca="1">M48+M49</f>
        <v>209000</v>
      </c>
      <c r="N47" s="427">
        <f ca="1">N48+N49</f>
        <v>70850</v>
      </c>
      <c r="O47" s="427">
        <f t="shared" ca="1" si="5"/>
        <v>34.645476772616135</v>
      </c>
      <c r="P47" s="427">
        <f t="shared" ca="1" si="6"/>
        <v>33.899521531100476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IFERROR(__xludf.DUMMYFUNCTION("IMPORTRANGE(""https://docs.google.com/spreadsheets/d/1-uDff_7J0KD5mKrp0Vvzr7lt3OU09vwQwhkpOPPYv2Y/edit?usp=sharing"",""งบพรบ!P71"")"),204500)</f>
        <v>204500</v>
      </c>
      <c r="M49" s="427">
        <f ca="1">IFERROR(__xludf.DUMMYFUNCTION("IMPORTRANGE(""https://docs.google.com/spreadsheets/d/1-uDff_7J0KD5mKrp0Vvzr7lt3OU09vwQwhkpOPPYv2Y/edit?usp=sharing"",""งบพรบ!V71"")"),209000)</f>
        <v>209000</v>
      </c>
      <c r="N49" s="427">
        <f ca="1">IFERROR(__xludf.DUMMYFUNCTION("IMPORTRANGE(""https://docs.google.com/spreadsheets/d/1-uDff_7J0KD5mKrp0Vvzr7lt3OU09vwQwhkpOPPYv2Y/edit?usp=sharing"",""งบพรบ!Y71"")"),70850)</f>
        <v>70850</v>
      </c>
      <c r="O49" s="427">
        <f t="shared" ca="1" si="5"/>
        <v>34.645476772616135</v>
      </c>
      <c r="P49" s="427">
        <f t="shared" ca="1" si="6"/>
        <v>33.899521531100476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IFERROR(__xludf.DUMMYFUNCTION("IMPORTRANGE(""https://docs.google.com/spreadsheets/d/1-uDff_7J0KD5mKrp0Vvzr7lt3OU09vwQwhkpOPPYv2Y/edit?usp=sharing"",""งบพรบ!S71"")"),0)</f>
        <v>0</v>
      </c>
      <c r="M52" s="427">
        <f ca="1">IFERROR(__xludf.DUMMYFUNCTION("IMPORTRANGE(""https://docs.google.com/spreadsheets/d/1-uDff_7J0KD5mKrp0Vvzr7lt3OU09vwQwhkpOPPYv2Y/edit?usp=sharing"",""งบพรบ!W71"")"),0)</f>
        <v>0</v>
      </c>
      <c r="N52" s="427">
        <f ca="1">IFERROR(__xludf.DUMMYFUNCTION("IMPORTRANGE(""https://docs.google.com/spreadsheets/d/1-uDff_7J0KD5mKrp0Vvzr7lt3OU09vwQwhkpOPPYv2Y/edit?usp=sharing"",""งบพรบ!Z71"")"),0)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599400</v>
      </c>
      <c r="M59" s="899">
        <f ca="1">M60+M61</f>
        <v>451450</v>
      </c>
      <c r="N59" s="899">
        <f ca="1">N60+N61</f>
        <v>393322.43</v>
      </c>
      <c r="O59" s="899">
        <f t="shared" ref="O59:O67" ca="1" si="8">IF(L59&gt;0,N59*100/L59,0)</f>
        <v>65.619357691024362</v>
      </c>
      <c r="P59" s="899">
        <f t="shared" ref="P59:P67" ca="1" si="9">IF(M59&gt;0,N59*100/M59,0)</f>
        <v>87.124250747591091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599400</v>
      </c>
      <c r="M61" s="891">
        <f t="shared" ca="1" si="10"/>
        <v>451450</v>
      </c>
      <c r="N61" s="891">
        <f t="shared" ca="1" si="10"/>
        <v>393322.43</v>
      </c>
      <c r="O61" s="891">
        <f t="shared" ca="1" si="8"/>
        <v>65.619357691024362</v>
      </c>
      <c r="P61" s="891">
        <f t="shared" ca="1" si="9"/>
        <v>87.124250747591091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599400</v>
      </c>
      <c r="M62" s="427">
        <f ca="1">M63+M64</f>
        <v>451450</v>
      </c>
      <c r="N62" s="427">
        <f ca="1">N63+N64</f>
        <v>393322.43</v>
      </c>
      <c r="O62" s="427">
        <f t="shared" ca="1" si="8"/>
        <v>65.619357691024362</v>
      </c>
      <c r="P62" s="427">
        <f t="shared" ca="1" si="9"/>
        <v>87.124250747591091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IFERROR(__xludf.DUMMYFUNCTION("IMPORTRANGE(""https://docs.google.com/spreadsheets/d/1-uDff_7J0KD5mKrp0Vvzr7lt3OU09vwQwhkpOPPYv2Y/edit?usp=sharing"",""งบพรบ!AC71"")"),599400)</f>
        <v>599400</v>
      </c>
      <c r="M64" s="427">
        <f ca="1">IFERROR(__xludf.DUMMYFUNCTION("IMPORTRANGE(""https://docs.google.com/spreadsheets/d/1-uDff_7J0KD5mKrp0Vvzr7lt3OU09vwQwhkpOPPYv2Y/edit?usp=sharing"",""งบพรบ!AH71"")"),451450)</f>
        <v>451450</v>
      </c>
      <c r="N64" s="427">
        <f ca="1">IFERROR(__xludf.DUMMYFUNCTION("IMPORTRANGE(""https://docs.google.com/spreadsheets/d/1-uDff_7J0KD5mKrp0Vvzr7lt3OU09vwQwhkpOPPYv2Y/edit?usp=sharing"",""งบพรบ!AJ71"")"),393322.43)</f>
        <v>393322.43</v>
      </c>
      <c r="O64" s="427">
        <f t="shared" ca="1" si="8"/>
        <v>65.619357691024362</v>
      </c>
      <c r="P64" s="427">
        <f t="shared" ca="1" si="9"/>
        <v>87.124250747591091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IFERROR(__xludf.DUMMYFUNCTION("IMPORTRANGE(""https://docs.google.com/spreadsheets/d/1-uDff_7J0KD5mKrp0Vvzr7lt3OU09vwQwhkpOPPYv2Y/edit?usp=sharing"",""งบพรบ!AF71"")"),0)</f>
        <v>0</v>
      </c>
      <c r="M67" s="624">
        <f ca="1">IFERROR(__xludf.DUMMYFUNCTION("IMPORTRANGE(""https://docs.google.com/spreadsheets/d/1-uDff_7J0KD5mKrp0Vvzr7lt3OU09vwQwhkpOPPYv2Y/edit?usp=sharing"",""งบพรบ!AI71"")"),0)</f>
        <v>0</v>
      </c>
      <c r="N67" s="624">
        <f ca="1">IFERROR(__xludf.DUMMYFUNCTION("IMPORTRANGE(""https://docs.google.com/spreadsheets/d/1-uDff_7J0KD5mKrp0Vvzr7lt3OU09vwQwhkpOPPYv2Y/edit?usp=sharing"",""งบพรบ!AK71"")"),0)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IFERROR(__xludf.DUMMYFUNCTION("IMPORTRANGE(""https://docs.google.com/spreadsheets/d/1-uDff_7J0KD5mKrp0Vvzr7lt3OU09vwQwhkpOPPYv2Y/edit?usp=sharing"",""งบพรบ!AM71"")"),0)</f>
        <v>0</v>
      </c>
      <c r="M77" s="427">
        <f ca="1">IFERROR(__xludf.DUMMYFUNCTION("IMPORTRANGE(""https://docs.google.com/spreadsheets/d/1-uDff_7J0KD5mKrp0Vvzr7lt3OU09vwQwhkpOPPYv2Y/edit?usp=sharing"",""งบพรบ!AR71"")"),0)</f>
        <v>0</v>
      </c>
      <c r="N77" s="427">
        <f ca="1">IFERROR(__xludf.DUMMYFUNCTION("IMPORTRANGE(""https://docs.google.com/spreadsheets/d/1-uDff_7J0KD5mKrp0Vvzr7lt3OU09vwQwhkpOPPYv2Y/edit?usp=sharing"",""งบพรบ!AT71"")"),0)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IFERROR(__xludf.DUMMYFUNCTION("IMPORTRANGE(""https://docs.google.com/spreadsheets/d/1-uDff_7J0KD5mKrp0Vvzr7lt3OU09vwQwhkpOPPYv2Y/edit?usp=sharing"",""งบพรบ!AP71"")"),0)</f>
        <v>0</v>
      </c>
      <c r="M80" s="427">
        <f ca="1">IFERROR(__xludf.DUMMYFUNCTION("IMPORTRANGE(""https://docs.google.com/spreadsheets/d/1-uDff_7J0KD5mKrp0Vvzr7lt3OU09vwQwhkpOPPYv2Y/edit?usp=sharing"",""งบพรบ!AS71"")"),0)</f>
        <v>0</v>
      </c>
      <c r="N80" s="427">
        <f ca="1">IFERROR(__xludf.DUMMYFUNCTION("IMPORTRANGE(""https://docs.google.com/spreadsheets/d/1-uDff_7J0KD5mKrp0Vvzr7lt3OU09vwQwhkpOPPYv2Y/edit?usp=sharing"",""งบพรบ!AU71"")"),0)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IFERROR(__xludf.DUMMYFUNCTION("IMPORTRANGE(""https://docs.google.com/spreadsheets/d/1eHaY18a8A9IcSdp1K8H6x8fbOy06t2VsZHhMHf-1x7Y/edit?usp=sharing"",""แผน!H71"")"),0)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IFERROR(__xludf.DUMMYFUNCTION("IMPORTRANGE(""https://docs.google.com/spreadsheets/d/1eHaY18a8A9IcSdp1K8H6x8fbOy06t2VsZHhMHf-1x7Y/edit?usp=sharing"",""แผน!I71"")"),0)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IFERROR(__xludf.DUMMYFUNCTION("IMPORTRANGE(""https://docs.google.com/spreadsheets/d/1eHaY18a8A9IcSdp1K8H6x8fbOy06t2VsZHhMHf-1x7Y/edit?usp=sharing"",""แผน!F71"")"),0)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IFERROR(__xludf.DUMMYFUNCTION("IMPORTRANGE(""https://docs.google.com/spreadsheets/d/1eHaY18a8A9IcSdp1K8H6x8fbOy06t2VsZHhMHf-1x7Y/edit?usp=sharing"",""แผน!G71"")"),0)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IFERROR(__xludf.DUMMYFUNCTION("IMPORTRANGE(""https://docs.google.com/spreadsheets/d/1eHaY18a8A9IcSdp1K8H6x8fbOy06t2VsZHhMHf-1x7Y/edit?usp=sharing"",""แผน!D71"")"),0)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IFERROR(__xludf.DUMMYFUNCTION("IMPORTRANGE(""https://docs.google.com/spreadsheets/d/1eHaY18a8A9IcSdp1K8H6x8fbOy06t2VsZHhMHf-1x7Y/edit?usp=sharing"",""แผน!E71"")"),0)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IFERROR(__xludf.DUMMYFUNCTION("IMPORTRANGE(""https://docs.google.com/spreadsheets/d/1eHaY18a8A9IcSdp1K8H6x8fbOy06t2VsZHhMHf-1x7Y/edit?usp=sharing"",""แผน!J71"")"),0)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IFERROR(__xludf.DUMMYFUNCTION("IMPORTRANGE(""https://docs.google.com/spreadsheets/d/1-uDff_7J0KD5mKrp0Vvzr7lt3OU09vwQwhkpOPPYv2Y/edit?usp=sharing"",""งบพรบ!AW71"")"),0)</f>
        <v>0</v>
      </c>
      <c r="M99" s="427">
        <f ca="1">IFERROR(__xludf.DUMMYFUNCTION("IMPORTRANGE(""https://docs.google.com/spreadsheets/d/1-uDff_7J0KD5mKrp0Vvzr7lt3OU09vwQwhkpOPPYv2Y/edit?usp=sharing"",""งบพรบ!BB71"")"),0)</f>
        <v>0</v>
      </c>
      <c r="N99" s="427">
        <f ca="1">IFERROR(__xludf.DUMMYFUNCTION("IMPORTRANGE(""https://docs.google.com/spreadsheets/d/1-uDff_7J0KD5mKrp0Vvzr7lt3OU09vwQwhkpOPPYv2Y/edit?usp=sharing"",""งบพรบ!BD71"")"),0)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IFERROR(__xludf.DUMMYFUNCTION("IMPORTRANGE(""https://docs.google.com/spreadsheets/d/1-uDff_7J0KD5mKrp0Vvzr7lt3OU09vwQwhkpOPPYv2Y/edit?usp=sharing"",""งบพรบ!AZ71"")"),0)</f>
        <v>0</v>
      </c>
      <c r="M102" s="427">
        <f ca="1">IFERROR(__xludf.DUMMYFUNCTION("IMPORTRANGE(""https://docs.google.com/spreadsheets/d/1-uDff_7J0KD5mKrp0Vvzr7lt3OU09vwQwhkpOPPYv2Y/edit?usp=sharing"",""งบพรบ!BC71"")"),0)</f>
        <v>0</v>
      </c>
      <c r="N102" s="427">
        <f ca="1">IFERROR(__xludf.DUMMYFUNCTION("IMPORTRANGE(""https://docs.google.com/spreadsheets/d/1-uDff_7J0KD5mKrp0Vvzr7lt3OU09vwQwhkpOPPYv2Y/edit?usp=sharing"",""งบพรบ!BE71"")"),0)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IFERROR(__xludf.DUMMYFUNCTION("IMPORTRANGE(""https://docs.google.com/spreadsheets/d/1eHaY18a8A9IcSdp1K8H6x8fbOy06t2VsZHhMHf-1x7Y/edit?usp=sharing"",""แผน!N71"")"),0)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IFERROR(__xludf.DUMMYFUNCTION("IMPORTRANGE(""https://docs.google.com/spreadsheets/d/1eHaY18a8A9IcSdp1K8H6x8fbOy06t2VsZHhMHf-1x7Y/edit?usp=sharing"",""แผน!O71"")"),0)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IFERROR(__xludf.DUMMYFUNCTION("IMPORTRANGE(""https://docs.google.com/spreadsheets/d/1eHaY18a8A9IcSdp1K8H6x8fbOy06t2VsZHhMHf-1x7Y/edit?usp=sharing"",""แผน!R71"")"),0)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IFERROR(__xludf.DUMMYFUNCTION("IMPORTRANGE(""https://docs.google.com/spreadsheets/d/1-uDff_7J0KD5mKrp0Vvzr7lt3OU09vwQwhkpOPPYv2Y/edit?usp=sharing"",""งบพรบ!BG71"")"),0)</f>
        <v>0</v>
      </c>
      <c r="M130" s="864">
        <f ca="1">IFERROR(__xludf.DUMMYFUNCTION("IMPORTRANGE(""https://docs.google.com/spreadsheets/d/1-uDff_7J0KD5mKrp0Vvzr7lt3OU09vwQwhkpOPPYv2Y/edit?usp=sharing"",""งบพรบ!BL71"")"),0)</f>
        <v>0</v>
      </c>
      <c r="N130" s="864">
        <f ca="1">IFERROR(__xludf.DUMMYFUNCTION("IMPORTRANGE(""https://docs.google.com/spreadsheets/d/1-uDff_7J0KD5mKrp0Vvzr7lt3OU09vwQwhkpOPPYv2Y/edit?usp=sharing"",""งบพรบ!BN71"")"),0)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IFERROR(__xludf.DUMMYFUNCTION("IMPORTRANGE(""https://docs.google.com/spreadsheets/d/1-uDff_7J0KD5mKrp0Vvzr7lt3OU09vwQwhkpOPPYv2Y/edit?usp=sharing"",""งบพรบ!BJ71"")"),0)</f>
        <v>0</v>
      </c>
      <c r="M133" s="864">
        <f ca="1">IFERROR(__xludf.DUMMYFUNCTION("IMPORTRANGE(""https://docs.google.com/spreadsheets/d/1-uDff_7J0KD5mKrp0Vvzr7lt3OU09vwQwhkpOPPYv2Y/edit?usp=sharing"",""งบพรบ!BM71"")"),0)</f>
        <v>0</v>
      </c>
      <c r="N133" s="864">
        <f ca="1">IFERROR(__xludf.DUMMYFUNCTION("IMPORTRANGE(""https://docs.google.com/spreadsheets/d/1-uDff_7J0KD5mKrp0Vvzr7lt3OU09vwQwhkpOPPYv2Y/edit?usp=sharing"",""งบพรบ!BO71"")"),0)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IFERROR(__xludf.DUMMYFUNCTION("IMPORTRANGE(""https://docs.google.com/spreadsheets/d/1-uDff_7J0KD5mKrp0Vvzr7lt3OU09vwQwhkpOPPYv2Y/edit?usp=sharing"",""งบพรบ!BQ71"")"),0)</f>
        <v>0</v>
      </c>
      <c r="M144" s="427">
        <f ca="1">IFERROR(__xludf.DUMMYFUNCTION("IMPORTRANGE(""https://docs.google.com/spreadsheets/d/1-uDff_7J0KD5mKrp0Vvzr7lt3OU09vwQwhkpOPPYv2Y/edit?usp=sharing"",""งบพรบ!BV71"")"),0)</f>
        <v>0</v>
      </c>
      <c r="N144" s="427">
        <f ca="1">IFERROR(__xludf.DUMMYFUNCTION("IMPORTRANGE(""https://docs.google.com/spreadsheets/d/1-uDff_7J0KD5mKrp0Vvzr7lt3OU09vwQwhkpOPPYv2Y/edit?usp=sharing"",""งบพรบ!BX71"")"),0)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IFERROR(__xludf.DUMMYFUNCTION("IMPORTRANGE(""https://docs.google.com/spreadsheets/d/1-uDff_7J0KD5mKrp0Vvzr7lt3OU09vwQwhkpOPPYv2Y/edit?usp=sharing"",""งบพรบ!BT71"")"),0)</f>
        <v>0</v>
      </c>
      <c r="M147" s="427">
        <f ca="1">IFERROR(__xludf.DUMMYFUNCTION("IMPORTRANGE(""https://docs.google.com/spreadsheets/d/1-uDff_7J0KD5mKrp0Vvzr7lt3OU09vwQwhkpOPPYv2Y/edit?usp=sharing"",""งบพรบ!BW71"")"),0)</f>
        <v>0</v>
      </c>
      <c r="N147" s="427">
        <f ca="1">IFERROR(__xludf.DUMMYFUNCTION("IMPORTRANGE(""https://docs.google.com/spreadsheets/d/1-uDff_7J0KD5mKrp0Vvzr7lt3OU09vwQwhkpOPPYv2Y/edit?usp=sharing"",""งบพรบ!BY71"")"),0)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IFERROR(__xludf.DUMMYFUNCTION("IMPORTRANGE(""https://docs.google.com/spreadsheets/d/1eHaY18a8A9IcSdp1K8H6x8fbOy06t2VsZHhMHf-1x7Y/edit?usp=sharing"",""แผน!U71"")"),0)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IFERROR(__xludf.DUMMYFUNCTION("IMPORTRANGE(""https://docs.google.com/spreadsheets/d/1eHaY18a8A9IcSdp1K8H6x8fbOy06t2VsZHhMHf-1x7Y/edit?usp=sharing"",""แผน!V71"")"),0)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IFERROR(__xludf.DUMMYFUNCTION("IMPORTRANGE(""https://docs.google.com/spreadsheets/d/1eHaY18a8A9IcSdp1K8H6x8fbOy06t2VsZHhMHf-1x7Y/edit?usp=sharing"",""แผน!W71"")"),0)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IFERROR(__xludf.DUMMYFUNCTION("IMPORTRANGE(""https://docs.google.com/spreadsheets/d/1eHaY18a8A9IcSdp1K8H6x8fbOy06t2VsZHhMHf-1x7Y/edit?usp=sharing"",""แผน!X71"")"),0)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IFERROR(__xludf.DUMMYFUNCTION("IMPORTRANGE(""https://docs.google.com/spreadsheets/d/1eHaY18a8A9IcSdp1K8H6x8fbOy06t2VsZHhMHf-1x7Y/edit?usp=sharing"",""แผน!Y71"")"),0)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IFERROR(__xludf.DUMMYFUNCTION("IMPORTRANGE(""https://docs.google.com/spreadsheets/d/1-uDff_7J0KD5mKrp0Vvzr7lt3OU09vwQwhkpOPPYv2Y/edit?usp=sharing"",""งบพรบ!CA71"")"),0)</f>
        <v>0</v>
      </c>
      <c r="M162" s="427">
        <f ca="1">IFERROR(__xludf.DUMMYFUNCTION("IMPORTRANGE(""https://docs.google.com/spreadsheets/d/1-uDff_7J0KD5mKrp0Vvzr7lt3OU09vwQwhkpOPPYv2Y/edit?usp=sharing"",""งบพรบ!CF71"")"),0)</f>
        <v>0</v>
      </c>
      <c r="N162" s="427">
        <f ca="1">IFERROR(__xludf.DUMMYFUNCTION("IMPORTRANGE(""https://docs.google.com/spreadsheets/d/1-uDff_7J0KD5mKrp0Vvzr7lt3OU09vwQwhkpOPPYv2Y/edit?usp=sharing"",""งบพรบ!CH71"")"),0)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IFERROR(__xludf.DUMMYFUNCTION("IMPORTRANGE(""https://docs.google.com/spreadsheets/d/1-uDff_7J0KD5mKrp0Vvzr7lt3OU09vwQwhkpOPPYv2Y/edit?usp=sharing"",""งบพรบ!CD71"")"),0)</f>
        <v>0</v>
      </c>
      <c r="M165" s="427">
        <f ca="1">IFERROR(__xludf.DUMMYFUNCTION("IMPORTRANGE(""https://docs.google.com/spreadsheets/d/1-uDff_7J0KD5mKrp0Vvzr7lt3OU09vwQwhkpOPPYv2Y/edit?usp=sharing"",""งบพรบ!CG71"")"),0)</f>
        <v>0</v>
      </c>
      <c r="N165" s="427">
        <f ca="1">IFERROR(__xludf.DUMMYFUNCTION("IMPORTRANGE(""https://docs.google.com/spreadsheets/d/1-uDff_7J0KD5mKrp0Vvzr7lt3OU09vwQwhkpOPPYv2Y/edit?usp=sharing"",""งบพรบ!CI71"")"),0)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IFERROR(__xludf.DUMMYFUNCTION("IMPORTRANGE(""https://docs.google.com/spreadsheets/d/1eHaY18a8A9IcSdp1K8H6x8fbOy06t2VsZHhMHf-1x7Y/edit?usp=sharing"",""แผน!Z71"")"),0)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IFERROR(__xludf.DUMMYFUNCTION("IMPORTRANGE(""https://docs.google.com/spreadsheets/d/1eHaY18a8A9IcSdp1K8H6x8fbOy06t2VsZHhMHf-1x7Y/edit?usp=sharing"",""แผน!Z71"")"),0)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IFERROR(__xludf.DUMMYFUNCTION("IMPORTRANGE(""https://docs.google.com/spreadsheets/d/1eHaY18a8A9IcSdp1K8H6x8fbOy06t2VsZHhMHf-1x7Y/edit?usp=sharing"",""แผน!Z71"")"),0)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7</v>
      </c>
      <c r="K172" s="828">
        <f ca="1">IF(I172&gt;0,J172*100/I172,0)</f>
        <v>100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18640</v>
      </c>
      <c r="O173" s="715">
        <f t="shared" ref="O173:O181" ca="1" si="27">IF(L173&gt;0,N173*100/L173,0)</f>
        <v>95.150587034201124</v>
      </c>
      <c r="P173" s="715">
        <f t="shared" ref="P173:P181" ca="1" si="28">IF(M173&gt;0,N173*100/M173,0)</f>
        <v>95.150587034201124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18640</v>
      </c>
      <c r="O175" s="427">
        <f t="shared" ca="1" si="27"/>
        <v>95.150587034201124</v>
      </c>
      <c r="P175" s="427">
        <f t="shared" ca="1" si="28"/>
        <v>95.150587034201124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18640</v>
      </c>
      <c r="O176" s="427">
        <f t="shared" ca="1" si="27"/>
        <v>95.150587034201124</v>
      </c>
      <c r="P176" s="427">
        <f t="shared" ca="1" si="28"/>
        <v>95.150587034201124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IFERROR(__xludf.DUMMYFUNCTION("IMPORTRANGE(""https://docs.google.com/spreadsheets/d/1-uDff_7J0KD5mKrp0Vvzr7lt3OU09vwQwhkpOPPYv2Y/edit?usp=sharing"",""งบพรบ!CK71"")"),19590)</f>
        <v>19590</v>
      </c>
      <c r="M178" s="427">
        <f ca="1">IFERROR(__xludf.DUMMYFUNCTION("IMPORTRANGE(""https://docs.google.com/spreadsheets/d/1-uDff_7J0KD5mKrp0Vvzr7lt3OU09vwQwhkpOPPYv2Y/edit?usp=sharing"",""งบพรบ!CP71"")"),19590)</f>
        <v>19590</v>
      </c>
      <c r="N178" s="427">
        <f ca="1">IFERROR(__xludf.DUMMYFUNCTION("IMPORTRANGE(""https://docs.google.com/spreadsheets/d/1-uDff_7J0KD5mKrp0Vvzr7lt3OU09vwQwhkpOPPYv2Y/edit?usp=sharing"",""งบพรบ!CR71"")"),18640)</f>
        <v>18640</v>
      </c>
      <c r="O178" s="427">
        <f t="shared" ca="1" si="27"/>
        <v>95.150587034201124</v>
      </c>
      <c r="P178" s="427">
        <f t="shared" ca="1" si="28"/>
        <v>95.150587034201124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IFERROR(__xludf.DUMMYFUNCTION("IMPORTRANGE(""https://docs.google.com/spreadsheets/d/1-uDff_7J0KD5mKrp0Vvzr7lt3OU09vwQwhkpOPPYv2Y/edit?usp=sharing"",""งบพรบ!CN71"")"),0)</f>
        <v>0</v>
      </c>
      <c r="M181" s="427">
        <f ca="1">IFERROR(__xludf.DUMMYFUNCTION("IMPORTRANGE(""https://docs.google.com/spreadsheets/d/1-uDff_7J0KD5mKrp0Vvzr7lt3OU09vwQwhkpOPPYv2Y/edit?usp=sharing"",""งบพรบ!CQ71"")"),0)</f>
        <v>0</v>
      </c>
      <c r="N181" s="427">
        <f ca="1">IFERROR(__xludf.DUMMYFUNCTION("IMPORTRANGE(""https://docs.google.com/spreadsheets/d/1-uDff_7J0KD5mKrp0Vvzr7lt3OU09vwQwhkpOPPYv2Y/edit?usp=sharing"",""งบพรบ!CS71"")"),0)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IFERROR(__xludf.DUMMYFUNCTION("IMPORTRANGE(""https://docs.google.com/spreadsheets/d/1eHaY18a8A9IcSdp1K8H6x8fbOy06t2VsZHhMHf-1x7Y/edit?usp=sharing"",""แผน!AA71"")"),7)</f>
        <v>7</v>
      </c>
      <c r="J183" s="736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84200</v>
      </c>
      <c r="M186" s="715">
        <f ca="1">M187+M188</f>
        <v>57500</v>
      </c>
      <c r="N186" s="715">
        <f ca="1">N187+N188</f>
        <v>12786.32</v>
      </c>
      <c r="O186" s="715">
        <f t="shared" ref="O186:O194" ca="1" si="30">IF(L186&gt;0,N186*100/L186,0)</f>
        <v>15.185653206650832</v>
      </c>
      <c r="P186" s="715">
        <f t="shared" ref="P186:P194" ca="1" si="31">IF(M186&gt;0,N186*100/M186,0)</f>
        <v>22.237078260869566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84200</v>
      </c>
      <c r="M188" s="427">
        <f t="shared" ca="1" si="32"/>
        <v>57500</v>
      </c>
      <c r="N188" s="427">
        <f t="shared" ca="1" si="32"/>
        <v>12786.32</v>
      </c>
      <c r="O188" s="427">
        <f t="shared" ca="1" si="30"/>
        <v>15.185653206650832</v>
      </c>
      <c r="P188" s="427">
        <f t="shared" ca="1" si="31"/>
        <v>22.237078260869566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84200</v>
      </c>
      <c r="M189" s="427">
        <f ca="1">M190+M191</f>
        <v>57500</v>
      </c>
      <c r="N189" s="427">
        <f ca="1">N190+N191</f>
        <v>12786.32</v>
      </c>
      <c r="O189" s="427">
        <f t="shared" ca="1" si="30"/>
        <v>15.185653206650832</v>
      </c>
      <c r="P189" s="427">
        <f t="shared" ca="1" si="31"/>
        <v>22.237078260869566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IFERROR(__xludf.DUMMYFUNCTION("IMPORTRANGE(""https://docs.google.com/spreadsheets/d/1-uDff_7J0KD5mKrp0Vvzr7lt3OU09vwQwhkpOPPYv2Y/edit?usp=sharing"",""งบพรบ!CU71"")"),84200)</f>
        <v>84200</v>
      </c>
      <c r="M191" s="427">
        <f ca="1">IFERROR(__xludf.DUMMYFUNCTION("IMPORTRANGE(""https://docs.google.com/spreadsheets/d/1-uDff_7J0KD5mKrp0Vvzr7lt3OU09vwQwhkpOPPYv2Y/edit?usp=sharing"",""งบพรบ!CZ71"")"),57500)</f>
        <v>57500</v>
      </c>
      <c r="N191" s="427">
        <f ca="1">IFERROR(__xludf.DUMMYFUNCTION("IMPORTRANGE(""https://docs.google.com/spreadsheets/d/1-uDff_7J0KD5mKrp0Vvzr7lt3OU09vwQwhkpOPPYv2Y/edit?usp=sharing"",""งบพรบ!DB71"")"),12786.32)</f>
        <v>12786.32</v>
      </c>
      <c r="O191" s="427">
        <f t="shared" ca="1" si="30"/>
        <v>15.185653206650832</v>
      </c>
      <c r="P191" s="427">
        <f t="shared" ca="1" si="31"/>
        <v>22.237078260869566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IFERROR(__xludf.DUMMYFUNCTION("IMPORTRANGE(""https://docs.google.com/spreadsheets/d/1-uDff_7J0KD5mKrp0Vvzr7lt3OU09vwQwhkpOPPYv2Y/edit?usp=sharing"",""งบพรบ!CX71"")"),0)</f>
        <v>0</v>
      </c>
      <c r="M194" s="427">
        <f ca="1">IFERROR(__xludf.DUMMYFUNCTION("IMPORTRANGE(""https://docs.google.com/spreadsheets/d/1-uDff_7J0KD5mKrp0Vvzr7lt3OU09vwQwhkpOPPYv2Y/edit?usp=sharing"",""งบพรบ!DA71"")"),0)</f>
        <v>0</v>
      </c>
      <c r="N194" s="427">
        <f ca="1">IFERROR(__xludf.DUMMYFUNCTION("IMPORTRANGE(""https://docs.google.com/spreadsheets/d/1-uDff_7J0KD5mKrp0Vvzr7lt3OU09vwQwhkpOPPYv2Y/edit?usp=sharing"",""งบพรบ!DC71"")"),0)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IFERROR(__xludf.DUMMYFUNCTION("IMPORTRANGE(""https://docs.google.com/spreadsheets/d/1eHaY18a8A9IcSdp1K8H6x8fbOy06t2VsZHhMHf-1x7Y/edit?usp=sharing"",""แผน!AB71"")"),6000)</f>
        <v>6000</v>
      </c>
      <c r="M196" s="430"/>
      <c r="N196" s="827">
        <v>1500</v>
      </c>
      <c r="O196" s="715">
        <f ca="1">IF(L196&gt;0,N196*100/L196,0)</f>
        <v>25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IFERROR(__xludf.DUMMYFUNCTION("IMPORTRANGE(""https://docs.google.com/spreadsheets/d/1eHaY18a8A9IcSdp1K8H6x8fbOy06t2VsZHhMHf-1x7Y/edit?usp=sharing"",""แผน!AE71"")"),4)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38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38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hidden="1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hidden="1" x14ac:dyDescent="0.25">
      <c r="A204" s="684"/>
      <c r="B204" s="421"/>
      <c r="C204" s="420"/>
      <c r="D204" s="295" t="s">
        <v>80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IFERROR(__xludf.DUMMYFUNCTION("IMPORTRANGE(""https://docs.google.com/spreadsheets/d/1eHaY18a8A9IcSdp1K8H6x8fbOy06t2VsZHhMHf-1x7Y/edit?usp=sharing"",""แผน!AG71"")"),0)</f>
        <v>0</v>
      </c>
      <c r="M204" s="430"/>
      <c r="N204" s="818">
        <v>0</v>
      </c>
      <c r="O204" s="678"/>
      <c r="P204" s="430"/>
    </row>
    <row r="205" spans="1:16" ht="18.75" hidden="1" x14ac:dyDescent="0.25">
      <c r="A205" s="419"/>
      <c r="B205" s="421"/>
      <c r="C205" s="420"/>
      <c r="D205" s="295" t="s">
        <v>82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IFERROR(__xludf.DUMMYFUNCTION("IMPORTRANGE(""https://docs.google.com/spreadsheets/d/1eHaY18a8A9IcSdp1K8H6x8fbOy06t2VsZHhMHf-1x7Y/edit?usp=sharing"",""แผน!AI71"")"),0)</f>
        <v>0</v>
      </c>
      <c r="M205" s="430"/>
      <c r="N205" s="818">
        <v>0</v>
      </c>
      <c r="O205" s="678"/>
      <c r="P205" s="430"/>
    </row>
    <row r="206" spans="1:16" ht="18.75" hidden="1" x14ac:dyDescent="0.25">
      <c r="A206" s="419"/>
      <c r="B206" s="421"/>
      <c r="C206" s="420"/>
      <c r="D206" s="295" t="s">
        <v>89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IFERROR(__xludf.DUMMYFUNCTION("IMPORTRANGE(""https://docs.google.com/spreadsheets/d/1eHaY18a8A9IcSdp1K8H6x8fbOy06t2VsZHhMHf-1x7Y/edit?usp=sharing"",""แผน!AJ71"")"),0)</f>
        <v>0</v>
      </c>
      <c r="M206" s="430"/>
      <c r="N206" s="818">
        <v>0</v>
      </c>
      <c r="O206" s="678"/>
      <c r="P206" s="430"/>
    </row>
    <row r="207" spans="1:16" ht="12.75" hidden="1" x14ac:dyDescent="0.2">
      <c r="A207" s="766"/>
      <c r="B207" s="765"/>
      <c r="C207" s="764"/>
      <c r="D207" s="764"/>
      <c r="E207" s="764"/>
      <c r="F207" s="764"/>
      <c r="G207" s="763"/>
      <c r="H207" s="763"/>
      <c r="I207" s="761"/>
      <c r="J207" s="761"/>
      <c r="K207" s="760"/>
      <c r="L207" s="760"/>
      <c r="M207" s="760"/>
      <c r="N207" s="760"/>
      <c r="O207" s="760"/>
      <c r="P207" s="760"/>
    </row>
    <row r="208" spans="1:16" ht="19.5" hidden="1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hidden="1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IFERROR(__xludf.DUMMYFUNCTION("IMPORTRANGE(""https://docs.google.com/spreadsheets/d/1eHaY18a8A9IcSdp1K8H6x8fbOy06t2VsZHhMHf-1x7Y/edit?usp=sharing"",""แผน!AK71"")"),0)</f>
        <v>0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hidden="1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IFERROR(__xludf.DUMMYFUNCTION("IMPORTRANGE(""https://docs.google.com/spreadsheets/d/1eHaY18a8A9IcSdp1K8H6x8fbOy06t2VsZHhMHf-1x7Y/edit?usp=sharing"",""แผน!AK71"")"),0)</f>
        <v>0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IFERROR(__xludf.DUMMYFUNCTION("IMPORTRANGE(""https://docs.google.com/spreadsheets/d/1eHaY18a8A9IcSdp1K8H6x8fbOy06t2VsZHhMHf-1x7Y/edit?usp=sharing"",""แผน!AK71"")"),0)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IFERROR(__xludf.DUMMYFUNCTION("IMPORTRANGE(""https://docs.google.com/spreadsheets/d/1eHaY18a8A9IcSdp1K8H6x8fbOy06t2VsZHhMHf-1x7Y/edit?usp=sharing"",""แผน!AM71"")"),0)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IFERROR(__xludf.DUMMYFUNCTION("IMPORTRANGE(""https://docs.google.com/spreadsheets/d/1eHaY18a8A9IcSdp1K8H6x8fbOy06t2VsZHhMHf-1x7Y/edit?usp=sharing"",""แผน!AN71"")"),0)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IFERROR(__xludf.DUMMYFUNCTION("IMPORTRANGE(""https://docs.google.com/spreadsheets/d/1eHaY18a8A9IcSdp1K8H6x8fbOy06t2VsZHhMHf-1x7Y/edit?usp=sharing"",""แผน!AO71"")"),0)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IFERROR(__xludf.DUMMYFUNCTION("IMPORTRANGE(""https://docs.google.com/spreadsheets/d/1eHaY18a8A9IcSdp1K8H6x8fbOy06t2VsZHhMHf-1x7Y/edit?usp=sharing"",""แผน!AP71"")"),0)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IFERROR(__xludf.DUMMYFUNCTION("IMPORTRANGE(""https://docs.google.com/spreadsheets/d/1eHaY18a8A9IcSdp1K8H6x8fbOy06t2VsZHhMHf-1x7Y/edit?usp=sharing"",""แผน!AP71"")"),0)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12000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IFERROR(__xludf.DUMMYFUNCTION("IMPORTRANGE(""https://docs.google.com/spreadsheets/d/1eHaY18a8A9IcSdp1K8H6x8fbOy06t2VsZHhMHf-1x7Y/edit?usp=sharing"",""แผน!AR71"")"),3000)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IFERROR(__xludf.DUMMYFUNCTION("IMPORTRANGE(""https://docs.google.com/spreadsheets/d/1eHaY18a8A9IcSdp1K8H6x8fbOy06t2VsZHhMHf-1x7Y/edit?usp=sharing"",""แผน!AS71"")"),1500)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IFERROR(__xludf.DUMMYFUNCTION("IMPORTRANGE(""https://docs.google.com/spreadsheets/d/1eHaY18a8A9IcSdp1K8H6x8fbOy06t2VsZHhMHf-1x7Y/edit?usp=sharing"",""แผน!AT71"")"),0)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IFERROR(__xludf.DUMMYFUNCTION("IMPORTRANGE(""https://docs.google.com/spreadsheets/d/1eHaY18a8A9IcSdp1K8H6x8fbOy06t2VsZHhMHf-1x7Y/edit?usp=sharing"",""แผน!AV71"")"),12000)</f>
        <v>12000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IFERROR(__xludf.DUMMYFUNCTION("IMPORTRANGE(""https://docs.google.com/spreadsheets/d/1eHaY18a8A9IcSdp1K8H6x8fbOy06t2VsZHhMHf-1x7Y/edit?usp=sharing"",""แผน!AV71"")"),12000)</f>
        <v>12000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IFERROR(__xludf.DUMMYFUNCTION("IMPORTRANGE(""https://docs.google.com/spreadsheets/d/1eHaY18a8A9IcSdp1K8H6x8fbOy06t2VsZHhMHf-1x7Y/edit?usp=sharing"",""แผน!AU71"")"),0)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IFERROR(__xludf.DUMMYFUNCTION("IMPORTRANGE(""https://docs.google.com/spreadsheets/d/1eHaY18a8A9IcSdp1K8H6x8fbOy06t2VsZHhMHf-1x7Y/edit?usp=sharing"",""แผน!AX71"")"),0)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IFERROR(__xludf.DUMMYFUNCTION("IMPORTRANGE(""https://docs.google.com/spreadsheets/d/1eHaY18a8A9IcSdp1K8H6x8fbOy06t2VsZHhMHf-1x7Y/edit?usp=sharing"",""แผน!AY71"")"),0)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IFERROR(__xludf.DUMMYFUNCTION("IMPORTRANGE(""https://docs.google.com/spreadsheets/d/1eHaY18a8A9IcSdp1K8H6x8fbOy06t2VsZHhMHf-1x7Y/edit?usp=sharing"",""แผน!AZ71"")"),0)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IFERROR(__xludf.DUMMYFUNCTION("IMPORTRANGE(""https://docs.google.com/spreadsheets/d/1eHaY18a8A9IcSdp1K8H6x8fbOy06t2VsZHhMHf-1x7Y/edit?usp=sharing"",""แผน!BA71"")"),0)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IFERROR(__xludf.DUMMYFUNCTION("IMPORTRANGE(""https://docs.google.com/spreadsheets/d/1eHaY18a8A9IcSdp1K8H6x8fbOy06t2VsZHhMHf-1x7Y/edit?usp=sharing"",""แผน!BG71"")"),0)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IFERROR(__xludf.DUMMYFUNCTION("IMPORTRANGE(""https://docs.google.com/spreadsheets/d/1eHaY18a8A9IcSdp1K8H6x8fbOy06t2VsZHhMHf-1x7Y/edit?usp=sharing"",""แผน!BB71"")"),0)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IFERROR(__xludf.DUMMYFUNCTION("IMPORTRANGE(""https://docs.google.com/spreadsheets/d/1eHaY18a8A9IcSdp1K8H6x8fbOy06t2VsZHhMHf-1x7Y/edit?usp=sharing"",""แผน!BC71"")"),0)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IFERROR(__xludf.DUMMYFUNCTION("IMPORTRANGE(""https://docs.google.com/spreadsheets/d/1eHaY18a8A9IcSdp1K8H6x8fbOy06t2VsZHhMHf-1x7Y/edit?usp=sharing"",""แผน!BD71"")"),0)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IFERROR(__xludf.DUMMYFUNCTION("IMPORTRANGE(""https://docs.google.com/spreadsheets/d/1eHaY18a8A9IcSdp1K8H6x8fbOy06t2VsZHhMHf-1x7Y/edit?usp=sharing"",""แผน!BE71"")"),0)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IFERROR(__xludf.DUMMYFUNCTION("IMPORTRANGE(""https://docs.google.com/spreadsheets/d/1eHaY18a8A9IcSdp1K8H6x8fbOy06t2VsZHhMHf-1x7Y/edit?usp=sharing"",""แผน!BH71"")"),0)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IFERROR(__xludf.DUMMYFUNCTION("IMPORTRANGE(""https://docs.google.com/spreadsheets/d/1-uDff_7J0KD5mKrp0Vvzr7lt3OU09vwQwhkpOPPYv2Y/edit?usp=sharing"",""งบพรบ!DE71"")"),0)</f>
        <v>0</v>
      </c>
      <c r="M271" s="502">
        <f ca="1">IFERROR(__xludf.DUMMYFUNCTION("IMPORTRANGE(""https://docs.google.com/spreadsheets/d/1-uDff_7J0KD5mKrp0Vvzr7lt3OU09vwQwhkpOPPYv2Y/edit?usp=sharing"",""งบพรบ!DJ71"")"),0)</f>
        <v>0</v>
      </c>
      <c r="N271" s="502">
        <f ca="1">IFERROR(__xludf.DUMMYFUNCTION("IMPORTRANGE(""https://docs.google.com/spreadsheets/d/1-uDff_7J0KD5mKrp0Vvzr7lt3OU09vwQwhkpOPPYv2Y/edit?usp=sharing"",""งบพรบ!DL71"")"),0)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IFERROR(__xludf.DUMMYFUNCTION("IMPORTRANGE(""https://docs.google.com/spreadsheets/d/1-uDff_7J0KD5mKrp0Vvzr7lt3OU09vwQwhkpOPPYv2Y/edit?usp=sharing"",""งบพรบ!DH71"")"),0)</f>
        <v>0</v>
      </c>
      <c r="M274" s="502">
        <f ca="1">IFERROR(__xludf.DUMMYFUNCTION("IMPORTRANGE(""https://docs.google.com/spreadsheets/d/1-uDff_7J0KD5mKrp0Vvzr7lt3OU09vwQwhkpOPPYv2Y/edit?usp=sharing"",""งบพรบ!DK71"")"),0)</f>
        <v>0</v>
      </c>
      <c r="N274" s="502">
        <f ca="1">IFERROR(__xludf.DUMMYFUNCTION("IMPORTRANGE(""https://docs.google.com/spreadsheets/d/1-uDff_7J0KD5mKrp0Vvzr7lt3OU09vwQwhkpOPPYv2Y/edit?usp=sharing"",""งบพรบ!DM71"")"),0)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IFERROR(__xludf.DUMMYFUNCTION("IMPORTRANGE(""https://docs.google.com/spreadsheets/d/1-uDff_7J0KD5mKrp0Vvzr7lt3OU09vwQwhkpOPPYv2Y/edit?usp=sharing"",""งบพรบ!DO71"")"),0)</f>
        <v>0</v>
      </c>
      <c r="M287" s="427">
        <f ca="1">IFERROR(__xludf.DUMMYFUNCTION("IMPORTRANGE(""https://docs.google.com/spreadsheets/d/1-uDff_7J0KD5mKrp0Vvzr7lt3OU09vwQwhkpOPPYv2Y/edit?usp=sharing"",""งบพรบ!DT71"")"),0)</f>
        <v>0</v>
      </c>
      <c r="N287" s="427">
        <f ca="1">IFERROR(__xludf.DUMMYFUNCTION("IMPORTRANGE(""https://docs.google.com/spreadsheets/d/1-uDff_7J0KD5mKrp0Vvzr7lt3OU09vwQwhkpOPPYv2Y/edit?usp=sharing"",""งบพรบ!DV71"")"),0)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IFERROR(__xludf.DUMMYFUNCTION("IMPORTRANGE(""https://docs.google.com/spreadsheets/d/1-uDff_7J0KD5mKrp0Vvzr7lt3OU09vwQwhkpOPPYv2Y/edit?usp=sharing"",""งบพรบ!DR71"")"),0)</f>
        <v>0</v>
      </c>
      <c r="M290" s="427">
        <f ca="1">IFERROR(__xludf.DUMMYFUNCTION("IMPORTRANGE(""https://docs.google.com/spreadsheets/d/1-uDff_7J0KD5mKrp0Vvzr7lt3OU09vwQwhkpOPPYv2Y/edit?usp=sharing"",""งบพรบ!DU71"")"),0)</f>
        <v>0</v>
      </c>
      <c r="N290" s="427">
        <f ca="1">IFERROR(__xludf.DUMMYFUNCTION("IMPORTRANGE(""https://docs.google.com/spreadsheets/d/1-uDff_7J0KD5mKrp0Vvzr7lt3OU09vwQwhkpOPPYv2Y/edit?usp=sharing"",""งบพรบ!DW71"")"),0)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IFERROR(__xludf.DUMMYFUNCTION("IMPORTRANGE(""https://docs.google.com/spreadsheets/d/1eHaY18a8A9IcSdp1K8H6x8fbOy06t2VsZHhMHf-1x7Y/edit?usp=sharing"",""แผน!EE71"")"),0)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IFERROR(__xludf.DUMMYFUNCTION("IMPORTRANGE(""https://docs.google.com/spreadsheets/d/1eHaY18a8A9IcSdp1K8H6x8fbOy06t2VsZHhMHf-1x7Y/edit?usp=sharing"",""แผน!ED71"")"),0)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IFERROR(__xludf.DUMMYFUNCTION("IMPORTRANGE(""https://docs.google.com/spreadsheets/d/1eHaY18a8A9IcSdp1K8H6x8fbOy06t2VsZHhMHf-1x7Y/edit?usp=sharing"",""แผน!ED71"")"),0)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IFERROR(__xludf.DUMMYFUNCTION("IMPORTRANGE(""https://docs.google.com/spreadsheets/d/1eHaY18a8A9IcSdp1K8H6x8fbOy06t2VsZHhMHf-1x7Y/edit?usp=sharing"",""แผน!ED71"")"),0)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IFERROR(__xludf.DUMMYFUNCTION("IMPORTRANGE(""https://docs.google.com/spreadsheets/d/1-uDff_7J0KD5mKrp0Vvzr7lt3OU09vwQwhkpOPPYv2Y/edit?usp=sharing"",""งบพรบ!DY71"")"),0)</f>
        <v>0</v>
      </c>
      <c r="M308" s="427">
        <f ca="1">IFERROR(__xludf.DUMMYFUNCTION("IMPORTRANGE(""https://docs.google.com/spreadsheets/d/1-uDff_7J0KD5mKrp0Vvzr7lt3OU09vwQwhkpOPPYv2Y/edit?usp=sharing"",""งบพรบ!ED71"")"),0)</f>
        <v>0</v>
      </c>
      <c r="N308" s="427">
        <f ca="1">IFERROR(__xludf.DUMMYFUNCTION("IMPORTRANGE(""https://docs.google.com/spreadsheets/d/1-uDff_7J0KD5mKrp0Vvzr7lt3OU09vwQwhkpOPPYv2Y/edit?usp=sharing"",""งบพรบ!EF71"")"),0)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IFERROR(__xludf.DUMMYFUNCTION("IMPORTRANGE(""https://docs.google.com/spreadsheets/d/1-uDff_7J0KD5mKrp0Vvzr7lt3OU09vwQwhkpOPPYv2Y/edit?usp=sharing"",""งบพรบ!EB71"")"),0)</f>
        <v>0</v>
      </c>
      <c r="M311" s="427">
        <f ca="1">IFERROR(__xludf.DUMMYFUNCTION("IMPORTRANGE(""https://docs.google.com/spreadsheets/d/1-uDff_7J0KD5mKrp0Vvzr7lt3OU09vwQwhkpOPPYv2Y/edit?usp=sharing"",""งบพรบ!EE71"")"),0)</f>
        <v>0</v>
      </c>
      <c r="N311" s="427">
        <f ca="1">IFERROR(__xludf.DUMMYFUNCTION("IMPORTRANGE(""https://docs.google.com/spreadsheets/d/1-uDff_7J0KD5mKrp0Vvzr7lt3OU09vwQwhkpOPPYv2Y/edit?usp=sharing"",""งบพรบ!EG71"")"),0)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IFERROR(__xludf.DUMMYFUNCTION("IMPORTRANGE(""https://docs.google.com/spreadsheets/d/1eHaY18a8A9IcSdp1K8H6x8fbOy06t2VsZHhMHf-1x7Y/edit?usp=sharing"",""แผน!EF71"")"),0)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IFERROR(__xludf.DUMMYFUNCTION("IMPORTRANGE(""https://docs.google.com/spreadsheets/d/1eHaY18a8A9IcSdp1K8H6x8fbOy06t2VsZHhMHf-1x7Y/edit?usp=sharing"",""แผน!EG71"")"),0)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IFERROR(__xludf.DUMMYFUNCTION("IMPORTRANGE(""https://docs.google.com/spreadsheets/d/1eHaY18a8A9IcSdp1K8H6x8fbOy06t2VsZHhMHf-1x7Y/edit?usp=sharing"",""แผน!EH71"")"),0)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IFERROR(__xludf.DUMMYFUNCTION("IMPORTRANGE(""https://docs.google.com/spreadsheets/d/1eHaY18a8A9IcSdp1K8H6x8fbOy06t2VsZHhMHf-1x7Y/edit?usp=sharing"",""แผน!EI71"")"),0)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IFERROR(__xludf.DUMMYFUNCTION("IMPORTRANGE(""https://docs.google.com/spreadsheets/d/1-uDff_7J0KD5mKrp0Vvzr7lt3OU09vwQwhkpOPPYv2Y/edit?usp=sharing"",""งบพรบ!EI71"")"),0)</f>
        <v>0</v>
      </c>
      <c r="M325" s="427">
        <f ca="1">IFERROR(__xludf.DUMMYFUNCTION("IMPORTRANGE(""https://docs.google.com/spreadsheets/d/1-uDff_7J0KD5mKrp0Vvzr7lt3OU09vwQwhkpOPPYv2Y/edit?usp=sharing"",""งบพรบ!EN71"")"),0)</f>
        <v>0</v>
      </c>
      <c r="N325" s="427">
        <f ca="1">IFERROR(__xludf.DUMMYFUNCTION("IMPORTRANGE(""https://docs.google.com/spreadsheets/d/1-uDff_7J0KD5mKrp0Vvzr7lt3OU09vwQwhkpOPPYv2Y/edit?usp=sharing"",""งบพรบ!EP71"")"),0)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IFERROR(__xludf.DUMMYFUNCTION("IMPORTRANGE(""https://docs.google.com/spreadsheets/d/1-uDff_7J0KD5mKrp0Vvzr7lt3OU09vwQwhkpOPPYv2Y/edit?usp=sharing"",""งบพรบ!EL71"")"),0)</f>
        <v>0</v>
      </c>
      <c r="M328" s="427">
        <f ca="1">IFERROR(__xludf.DUMMYFUNCTION("IMPORTRANGE(""https://docs.google.com/spreadsheets/d/1-uDff_7J0KD5mKrp0Vvzr7lt3OU09vwQwhkpOPPYv2Y/edit?usp=sharing"",""งบพรบ!EO71"")"),0)</f>
        <v>0</v>
      </c>
      <c r="N328" s="427">
        <f ca="1">IFERROR(__xludf.DUMMYFUNCTION("IMPORTRANGE(""https://docs.google.com/spreadsheets/d/1-uDff_7J0KD5mKrp0Vvzr7lt3OU09vwQwhkpOPPYv2Y/edit?usp=sharing"",""งบพรบ!EQ71"")"),0)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IFERROR(__xludf.DUMMYFUNCTION("IMPORTRANGE(""https://docs.google.com/spreadsheets/d/1eHaY18a8A9IcSdp1K8H6x8fbOy06t2VsZHhMHf-1x7Y/edit?usp=sharing"",""แผน!EJ71"")"),0)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40</v>
      </c>
      <c r="J332" s="404">
        <f ca="1">J344+J347+J348+J349+J353</f>
        <v>19</v>
      </c>
      <c r="K332" s="405">
        <f ca="1">IF(I332&gt;0,J332*100/I332,0)</f>
        <v>47.5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213600</v>
      </c>
      <c r="M333" s="715">
        <f ca="1">M334+M335</f>
        <v>155950</v>
      </c>
      <c r="N333" s="715">
        <f ca="1">N334+N335</f>
        <v>44300</v>
      </c>
      <c r="O333" s="715">
        <f t="shared" ref="O333:O341" ca="1" si="45">IF(L333&gt;0,N333*100/L333,0)</f>
        <v>20.739700374531836</v>
      </c>
      <c r="P333" s="715">
        <f t="shared" ref="P333:P341" ca="1" si="46">IF(M333&gt;0,N333*100/M333,0)</f>
        <v>28.406540557871111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213600</v>
      </c>
      <c r="M335" s="427">
        <f t="shared" ca="1" si="47"/>
        <v>155950</v>
      </c>
      <c r="N335" s="427">
        <f t="shared" ca="1" si="47"/>
        <v>44300</v>
      </c>
      <c r="O335" s="427">
        <f t="shared" ca="1" si="45"/>
        <v>20.739700374531836</v>
      </c>
      <c r="P335" s="427">
        <f t="shared" ca="1" si="46"/>
        <v>28.406540557871111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213600</v>
      </c>
      <c r="M336" s="427">
        <f ca="1">M337+M338</f>
        <v>155950</v>
      </c>
      <c r="N336" s="427">
        <f ca="1">N337+N338</f>
        <v>44300</v>
      </c>
      <c r="O336" s="427">
        <f t="shared" ca="1" si="45"/>
        <v>20.739700374531836</v>
      </c>
      <c r="P336" s="427">
        <f t="shared" ca="1" si="46"/>
        <v>28.406540557871111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IFERROR(__xludf.DUMMYFUNCTION("IMPORTRANGE(""https://docs.google.com/spreadsheets/d/1-uDff_7J0KD5mKrp0Vvzr7lt3OU09vwQwhkpOPPYv2Y/edit?usp=sharing"",""งบพรบ!ES71"")"),213600)</f>
        <v>213600</v>
      </c>
      <c r="M338" s="427">
        <f ca="1">IFERROR(__xludf.DUMMYFUNCTION("IMPORTRANGE(""https://docs.google.com/spreadsheets/d/1-uDff_7J0KD5mKrp0Vvzr7lt3OU09vwQwhkpOPPYv2Y/edit?usp=sharing"",""งบพรบ!EX71"")"),155950)</f>
        <v>155950</v>
      </c>
      <c r="N338" s="427">
        <f ca="1">IFERROR(__xludf.DUMMYFUNCTION("IMPORTRANGE(""https://docs.google.com/spreadsheets/d/1-uDff_7J0KD5mKrp0Vvzr7lt3OU09vwQwhkpOPPYv2Y/edit?usp=sharing"",""งบพรบ!EZ71"")"),44300)</f>
        <v>44300</v>
      </c>
      <c r="O338" s="427">
        <f t="shared" ca="1" si="45"/>
        <v>20.739700374531836</v>
      </c>
      <c r="P338" s="427">
        <f t="shared" ca="1" si="46"/>
        <v>28.406540557871111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IFERROR(__xludf.DUMMYFUNCTION("IMPORTRANGE(""https://docs.google.com/spreadsheets/d/1-uDff_7J0KD5mKrp0Vvzr7lt3OU09vwQwhkpOPPYv2Y/edit?usp=sharing"",""งบพรบ!EV71"")"),0)</f>
        <v>0</v>
      </c>
      <c r="M341" s="427">
        <f ca="1">IFERROR(__xludf.DUMMYFUNCTION("IMPORTRANGE(""https://docs.google.com/spreadsheets/d/1-uDff_7J0KD5mKrp0Vvzr7lt3OU09vwQwhkpOPPYv2Y/edit?usp=sharing"",""งบพรบ!EY71"")"),0)</f>
        <v>0</v>
      </c>
      <c r="N341" s="427">
        <f ca="1">IFERROR(__xludf.DUMMYFUNCTION("IMPORTRANGE(""https://docs.google.com/spreadsheets/d/1-uDff_7J0KD5mKrp0Vvzr7lt3OU09vwQwhkpOPPYv2Y/edit?usp=sharing"",""งบพรบ!FA71"")"),0)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19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IFERROR(__xludf.DUMMYFUNCTION("IMPORTRANGE(""https://docs.google.com/spreadsheets/d/1eHaY18a8A9IcSdp1K8H6x8fbOy06t2VsZHhMHf-1x7Y/edit?usp=sharing"",""แผน!EK71"")"),40)</f>
        <v>40</v>
      </c>
      <c r="J344" s="426">
        <f ca="1">IFERROR(__xludf.DUMMYFUNCTION("IMPORTRANGE(""https://docs.google.com/spreadsheets/d/1awYsYK3VOup2i3Pq_Yjnu8DRu_mYwSBnCR2QPthd0rU/edit?usp=sharing"",""ศูนย์ยกเว้นโฉนด!D71"")"),3)</f>
        <v>3</v>
      </c>
      <c r="K344" s="427">
        <f ca="1">IF(I344&gt;0,J344*100/I344,0)</f>
        <v>7.5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IFERROR(__xludf.DUMMYFUNCTION("IMPORTRANGE(""https://docs.google.com/spreadsheets/d/1eHaY18a8A9IcSdp1K8H6x8fbOy06t2VsZHhMHf-1x7Y/edit?usp=sharing"",""แผน!EL71"")"),1)</f>
        <v>1</v>
      </c>
      <c r="J346" s="426">
        <f ca="1">IFERROR(__xludf.DUMMYFUNCTION("IMPORTRANGE(""https://docs.google.com/spreadsheets/d/1awYsYK3VOup2i3Pq_Yjnu8DRu_mYwSBnCR2QPthd0rU/edit?usp=sharing"",""ศูนย์รวม!E71"")"),1)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IFERROR(__xludf.DUMMYFUNCTION("IMPORTRANGE(""https://docs.google.com/spreadsheets/d/1awYsYK3VOup2i3Pq_Yjnu8DRu_mYwSBnCR2QPthd0rU/edit?usp=sharing"",""ศูนย์ยกเว้นโฉนด!G71"")"),2)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IFERROR(__xludf.DUMMYFUNCTION("IMPORTRANGE(""https://docs.google.com/spreadsheets/d/1awYsYK3VOup2i3Pq_Yjnu8DRu_mYwSBnCR2QPthd0rU/edit?usp=sharing"",""โฉนดM3!G71"")"),0)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IFERROR(__xludf.DUMMYFUNCTION("IMPORTRANGE(""https://docs.google.com/spreadsheets/d/1awYsYK3VOup2i3Pq_Yjnu8DRu_mYwSBnCR2QPthd0rU/edit?usp=sharing"",""โฉนดM3!H71"")"),0)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112985</v>
      </c>
      <c r="M356" s="715">
        <f ca="1">M357+M358</f>
        <v>86985</v>
      </c>
      <c r="N356" s="715">
        <f ca="1">N357+N358</f>
        <v>26000</v>
      </c>
      <c r="O356" s="715">
        <f t="shared" ref="O356:O364" ca="1" si="48">IF(L356&gt;0,N356*100/L356,0)</f>
        <v>23.011904235075452</v>
      </c>
      <c r="P356" s="715">
        <f t="shared" ref="P356:P364" ca="1" si="49">IF(M356&gt;0,N356*100/M356,0)</f>
        <v>29.89021095591194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112985</v>
      </c>
      <c r="M358" s="427">
        <f t="shared" ca="1" si="50"/>
        <v>86985</v>
      </c>
      <c r="N358" s="427">
        <f t="shared" ca="1" si="50"/>
        <v>26000</v>
      </c>
      <c r="O358" s="427">
        <f t="shared" ca="1" si="48"/>
        <v>23.011904235075452</v>
      </c>
      <c r="P358" s="427">
        <f t="shared" ca="1" si="49"/>
        <v>29.89021095591194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112985</v>
      </c>
      <c r="M359" s="427">
        <f ca="1">M360+M361</f>
        <v>86985</v>
      </c>
      <c r="N359" s="427">
        <f ca="1">N360+N361</f>
        <v>26000</v>
      </c>
      <c r="O359" s="427">
        <f t="shared" ca="1" si="48"/>
        <v>23.011904235075452</v>
      </c>
      <c r="P359" s="427">
        <f t="shared" ca="1" si="49"/>
        <v>29.89021095591194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IFERROR(__xludf.DUMMYFUNCTION("IMPORTRANGE(""https://docs.google.com/spreadsheets/d/1-uDff_7J0KD5mKrp0Vvzr7lt3OU09vwQwhkpOPPYv2Y/edit?usp=sharing"",""งบพรบ!FC71"")"),112985)</f>
        <v>112985</v>
      </c>
      <c r="M361" s="427">
        <f ca="1">IFERROR(__xludf.DUMMYFUNCTION("IMPORTRANGE(""https://docs.google.com/spreadsheets/d/1-uDff_7J0KD5mKrp0Vvzr7lt3OU09vwQwhkpOPPYv2Y/edit?usp=sharing"",""งบพรบ!FH71"")"),86985)</f>
        <v>86985</v>
      </c>
      <c r="N361" s="427">
        <f ca="1">IFERROR(__xludf.DUMMYFUNCTION("IMPORTRANGE(""https://docs.google.com/spreadsheets/d/1-uDff_7J0KD5mKrp0Vvzr7lt3OU09vwQwhkpOPPYv2Y/edit?usp=sharing"",""งบพรบ!FJ71"")"),26000)</f>
        <v>26000</v>
      </c>
      <c r="O361" s="427">
        <f t="shared" ca="1" si="48"/>
        <v>23.011904235075452</v>
      </c>
      <c r="P361" s="427">
        <f t="shared" ca="1" si="49"/>
        <v>29.89021095591194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IFERROR(__xludf.DUMMYFUNCTION("IMPORTRANGE(""https://docs.google.com/spreadsheets/d/1-uDff_7J0KD5mKrp0Vvzr7lt3OU09vwQwhkpOPPYv2Y/edit?usp=sharing"",""งบพรบ!FF71"")"),0)</f>
        <v>0</v>
      </c>
      <c r="M364" s="427">
        <f ca="1">IFERROR(__xludf.DUMMYFUNCTION("IMPORTRANGE(""https://docs.google.com/spreadsheets/d/1-uDff_7J0KD5mKrp0Vvzr7lt3OU09vwQwhkpOPPYv2Y/edit?usp=sharing"",""งบพรบ!FI71"")"),0)</f>
        <v>0</v>
      </c>
      <c r="N364" s="427">
        <f ca="1">IFERROR(__xludf.DUMMYFUNCTION("IMPORTRANGE(""https://docs.google.com/spreadsheets/d/1-uDff_7J0KD5mKrp0Vvzr7lt3OU09vwQwhkpOPPYv2Y/edit?usp=sharing"",""งบพรบ!FK71"")"),0)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IFERROR(__xludf.DUMMYFUNCTION("IMPORTRANGE(""https://docs.google.com/spreadsheets/d/1tdoBKaGub7dwA3U6UFTqxio9LNnvDCQjHKmttSEBsFQ/edit?usp=sharing"",""จัดที่ดิน!AB71"")"),0)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IFERROR(__xludf.DUMMYFUNCTION("IMPORTRANGE(""https://docs.google.com/spreadsheets/d/1eHaY18a8A9IcSdp1K8H6x8fbOy06t2VsZHhMHf-1x7Y/edit?usp=sharing"",""แผน!EW71"")"),0)</f>
        <v>0</v>
      </c>
      <c r="J368" s="704">
        <f ca="1">IFERROR(__xludf.DUMMYFUNCTION("IMPORTRANGE(""https://docs.google.com/spreadsheets/d/1tdoBKaGub7dwA3U6UFTqxio9LNnvDCQjHKmttSEBsFQ/edit?usp=sharing"",""จัดที่ดิน!AC71"")"),0)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IFERROR(__xludf.DUMMYFUNCTION("IMPORTRANGE(""https://docs.google.com/spreadsheets/d/1eHaY18a8A9IcSdp1K8H6x8fbOy06t2VsZHhMHf-1x7Y/edit?usp=sharing"",""แผน!EX71"")"),0)</f>
        <v>0</v>
      </c>
      <c r="J369" s="426">
        <f ca="1">IFERROR(__xludf.DUMMYFUNCTION("IMPORTRANGE(""https://docs.google.com/spreadsheets/d/1tdoBKaGub7dwA3U6UFTqxio9LNnvDCQjHKmttSEBsFQ/edit?usp=sharing"",""จัดที่ดิน!AD71"")"),0)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IFERROR(__xludf.DUMMYFUNCTION("IMPORTRANGE(""https://docs.google.com/spreadsheets/d/1tdoBKaGub7dwA3U6UFTqxio9LNnvDCQjHKmttSEBsFQ/edit?usp=sharing"",""จัดที่ดิน!AE71"")"),0)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IFERROR(__xludf.DUMMYFUNCTION("IMPORTRANGE(""https://docs.google.com/spreadsheets/d/1eHaY18a8A9IcSdp1K8H6x8fbOy06t2VsZHhMHf-1x7Y/edit?usp=sharing"",""แผน!EY71"")"),0)</f>
        <v>0</v>
      </c>
      <c r="J371" s="426">
        <f ca="1">IFERROR(__xludf.DUMMYFUNCTION("IMPORTRANGE(""https://docs.google.com/spreadsheets/d/1tdoBKaGub7dwA3U6UFTqxio9LNnvDCQjHKmttSEBsFQ/edit?usp=sharing"",""จัดที่ดิน!AF71"")"),0)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IFERROR(__xludf.DUMMYFUNCTION("IMPORTRANGE(""https://docs.google.com/spreadsheets/d/1tdoBKaGub7dwA3U6UFTqxio9LNnvDCQjHKmttSEBsFQ/edit?usp=sharing"",""จัดที่ดิน!AG71"")"),0)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IFERROR(__xludf.DUMMYFUNCTION("IMPORTRANGE(""https://docs.google.com/spreadsheets/d/1-uDff_7J0KD5mKrp0Vvzr7lt3OU09vwQwhkpOPPYv2Y/edit?usp=sharing"",""งบพรบ!FM71"")"),0)</f>
        <v>0</v>
      </c>
      <c r="M382" s="502">
        <f ca="1">IFERROR(__xludf.DUMMYFUNCTION("IMPORTRANGE(""https://docs.google.com/spreadsheets/d/1-uDff_7J0KD5mKrp0Vvzr7lt3OU09vwQwhkpOPPYv2Y/edit?usp=sharing"",""งบพรบ!FR71"")"),0)</f>
        <v>0</v>
      </c>
      <c r="N382" s="502">
        <f ca="1">IFERROR(__xludf.DUMMYFUNCTION("IMPORTRANGE(""https://docs.google.com/spreadsheets/d/1-uDff_7J0KD5mKrp0Vvzr7lt3OU09vwQwhkpOPPYv2Y/edit?usp=sharing"",""งบพรบ!FT71"")"),0)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IFERROR(__xludf.DUMMYFUNCTION("IMPORTRANGE(""https://docs.google.com/spreadsheets/d/1-uDff_7J0KD5mKrp0Vvzr7lt3OU09vwQwhkpOPPYv2Y/edit?usp=sharing"",""งบพรบ!FP71"")"),0)</f>
        <v>0</v>
      </c>
      <c r="M385" s="502">
        <f ca="1">IFERROR(__xludf.DUMMYFUNCTION("IMPORTRANGE(""https://docs.google.com/spreadsheets/d/1-uDff_7J0KD5mKrp0Vvzr7lt3OU09vwQwhkpOPPYv2Y/edit?usp=sharing"",""งบพรบ!FS71"")"),0)</f>
        <v>0</v>
      </c>
      <c r="N385" s="502">
        <f ca="1">IFERROR(__xludf.DUMMYFUNCTION("IMPORTRANGE(""https://docs.google.com/spreadsheets/d/1-uDff_7J0KD5mKrp0Vvzr7lt3OU09vwQwhkpOPPYv2Y/edit?usp=sharing"",""งบพรบ!FU71"")"),0)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3" orientation="portrait" verticalDpi="0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55347-9DC1-4244-935E-D0954B8AB557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273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2106925</v>
      </c>
      <c r="M18" s="843">
        <f ca="1">M19+M20</f>
        <v>1740005</v>
      </c>
      <c r="N18" s="843">
        <f ca="1">N19+N20</f>
        <v>775895.09</v>
      </c>
      <c r="O18" s="843">
        <f t="shared" ref="O18:O26" ca="1" si="0">IF(L18&gt;0,N18*100/L18,0)</f>
        <v>36.825947292855702</v>
      </c>
      <c r="P18" s="843">
        <f t="shared" ref="P18:P26" ca="1" si="1">IF(M18&gt;0,N18*100/M18,0)</f>
        <v>44.591543702460626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2106925</v>
      </c>
      <c r="M20" s="947">
        <f t="shared" ca="1" si="2"/>
        <v>1740005</v>
      </c>
      <c r="N20" s="947">
        <f t="shared" ca="1" si="2"/>
        <v>775895.09</v>
      </c>
      <c r="O20" s="947">
        <f t="shared" ca="1" si="0"/>
        <v>36.825947292855702</v>
      </c>
      <c r="P20" s="947">
        <f t="shared" ca="1" si="1"/>
        <v>44.591543702460626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2106925</v>
      </c>
      <c r="M21" s="427">
        <f ca="1">M22+M23</f>
        <v>1740005</v>
      </c>
      <c r="N21" s="427">
        <f ca="1">N22+N23</f>
        <v>775895.09</v>
      </c>
      <c r="O21" s="427">
        <f t="shared" ca="1" si="0"/>
        <v>36.825947292855702</v>
      </c>
      <c r="P21" s="427">
        <f t="shared" ca="1" si="1"/>
        <v>44.591543702460626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2106925</v>
      </c>
      <c r="M23" s="427">
        <f t="shared" ca="1" si="3"/>
        <v>1740005</v>
      </c>
      <c r="N23" s="427">
        <f t="shared" ca="1" si="3"/>
        <v>775895.09</v>
      </c>
      <c r="O23" s="427">
        <f t="shared" ca="1" si="0"/>
        <v>36.825947292855702</v>
      </c>
      <c r="P23" s="427">
        <f t="shared" ca="1" si="1"/>
        <v>44.591543702460626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2106925</v>
      </c>
      <c r="M40" s="940">
        <f ca="1">M44+M59+M72+M94+M125+M139+M157+M173+M186+M266+M282+M303+M320+M333+M356</f>
        <v>1740005</v>
      </c>
      <c r="N40" s="940">
        <f ca="1">N44+N59+N72+N94+N125+N139+N157+N173+N186+N266+N282+N303+N320+N333+N356</f>
        <v>775895.09</v>
      </c>
      <c r="O40" s="940">
        <f ca="1">IF(L40&gt;0,N40*100/L40,0)</f>
        <v>36.825947292855702</v>
      </c>
      <c r="P40" s="940">
        <f ca="1">IF(M40&gt;0,N40*100/M40,0)</f>
        <v>44.591543702460626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535550</v>
      </c>
      <c r="M44" s="925">
        <f ca="1">M45+M46</f>
        <v>537800</v>
      </c>
      <c r="N44" s="925">
        <f ca="1">N45+N46</f>
        <v>249746</v>
      </c>
      <c r="O44" s="925">
        <f t="shared" ref="O44:O52" ca="1" si="5">IF(L44&gt;0,N44*100/L44,0)</f>
        <v>46.633554289982264</v>
      </c>
      <c r="P44" s="925">
        <f t="shared" ref="P44:P52" ca="1" si="6">IF(M44&gt;0,N44*100/M44,0)</f>
        <v>46.4384529564894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535550</v>
      </c>
      <c r="M46" s="917">
        <f t="shared" ca="1" si="7"/>
        <v>537800</v>
      </c>
      <c r="N46" s="917">
        <f t="shared" ca="1" si="7"/>
        <v>249746</v>
      </c>
      <c r="O46" s="917">
        <f t="shared" ca="1" si="5"/>
        <v>46.633554289982264</v>
      </c>
      <c r="P46" s="917">
        <f t="shared" ca="1" si="6"/>
        <v>46.4384529564894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535550</v>
      </c>
      <c r="M47" s="427">
        <f ca="1">M48+M49</f>
        <v>537800</v>
      </c>
      <c r="N47" s="427">
        <f ca="1">N48+N49</f>
        <v>249746</v>
      </c>
      <c r="O47" s="427">
        <f t="shared" ca="1" si="5"/>
        <v>46.633554289982264</v>
      </c>
      <c r="P47" s="427">
        <f t="shared" ca="1" si="6"/>
        <v>46.4384529564894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IFERROR(__xludf.DUMMYFUNCTION("IMPORTRANGE(""https://docs.google.com/spreadsheets/d/1-uDff_7J0KD5mKrp0Vvzr7lt3OU09vwQwhkpOPPYv2Y/edit?usp=sharing"",""งบพรบ!P72"")"),535550)</f>
        <v>535550</v>
      </c>
      <c r="M49" s="427">
        <f ca="1">IFERROR(__xludf.DUMMYFUNCTION("IMPORTRANGE(""https://docs.google.com/spreadsheets/d/1-uDff_7J0KD5mKrp0Vvzr7lt3OU09vwQwhkpOPPYv2Y/edit?usp=sharing"",""งบพรบ!V72"")"),537800)</f>
        <v>537800</v>
      </c>
      <c r="N49" s="427">
        <f ca="1">IFERROR(__xludf.DUMMYFUNCTION("IMPORTRANGE(""https://docs.google.com/spreadsheets/d/1-uDff_7J0KD5mKrp0Vvzr7lt3OU09vwQwhkpOPPYv2Y/edit?usp=sharing"",""งบพรบ!Y72"")"),249746)</f>
        <v>249746</v>
      </c>
      <c r="O49" s="427">
        <f t="shared" ca="1" si="5"/>
        <v>46.633554289982264</v>
      </c>
      <c r="P49" s="427">
        <f t="shared" ca="1" si="6"/>
        <v>46.4384529564894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IFERROR(__xludf.DUMMYFUNCTION("IMPORTRANGE(""https://docs.google.com/spreadsheets/d/1-uDff_7J0KD5mKrp0Vvzr7lt3OU09vwQwhkpOPPYv2Y/edit?usp=sharing"",""งบพรบ!S72"")"),0)</f>
        <v>0</v>
      </c>
      <c r="M52" s="427">
        <f ca="1">IFERROR(__xludf.DUMMYFUNCTION("IMPORTRANGE(""https://docs.google.com/spreadsheets/d/1-uDff_7J0KD5mKrp0Vvzr7lt3OU09vwQwhkpOPPYv2Y/edit?usp=sharing"",""งบพรบ!W72"")"),0)</f>
        <v>0</v>
      </c>
      <c r="N52" s="427">
        <f ca="1">IFERROR(__xludf.DUMMYFUNCTION("IMPORTRANGE(""https://docs.google.com/spreadsheets/d/1-uDff_7J0KD5mKrp0Vvzr7lt3OU09vwQwhkpOPPYv2Y/edit?usp=sharing"",""งบพรบ!Z72"")"),0)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576900</v>
      </c>
      <c r="M59" s="899">
        <f ca="1">M60+M61</f>
        <v>434700</v>
      </c>
      <c r="N59" s="899">
        <f ca="1">N60+N61</f>
        <v>297535.25</v>
      </c>
      <c r="O59" s="899">
        <f t="shared" ref="O59:O67" ca="1" si="8">IF(L59&gt;0,N59*100/L59,0)</f>
        <v>51.574839660253076</v>
      </c>
      <c r="P59" s="899">
        <f t="shared" ref="P59:P67" ca="1" si="9">IF(M59&gt;0,N59*100/M59,0)</f>
        <v>68.44611226132966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576900</v>
      </c>
      <c r="M61" s="891">
        <f t="shared" ca="1" si="10"/>
        <v>434700</v>
      </c>
      <c r="N61" s="891">
        <f t="shared" ca="1" si="10"/>
        <v>297535.25</v>
      </c>
      <c r="O61" s="891">
        <f t="shared" ca="1" si="8"/>
        <v>51.574839660253076</v>
      </c>
      <c r="P61" s="891">
        <f t="shared" ca="1" si="9"/>
        <v>68.44611226132966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576900</v>
      </c>
      <c r="M62" s="427">
        <f ca="1">M63+M64</f>
        <v>434700</v>
      </c>
      <c r="N62" s="427">
        <f ca="1">N63+N64</f>
        <v>297535.25</v>
      </c>
      <c r="O62" s="427">
        <f t="shared" ca="1" si="8"/>
        <v>51.574839660253076</v>
      </c>
      <c r="P62" s="427">
        <f t="shared" ca="1" si="9"/>
        <v>68.44611226132966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IFERROR(__xludf.DUMMYFUNCTION("IMPORTRANGE(""https://docs.google.com/spreadsheets/d/1-uDff_7J0KD5mKrp0Vvzr7lt3OU09vwQwhkpOPPYv2Y/edit?usp=sharing"",""งบพรบ!AC72"")"),576900)</f>
        <v>576900</v>
      </c>
      <c r="M64" s="427">
        <f ca="1">IFERROR(__xludf.DUMMYFUNCTION("IMPORTRANGE(""https://docs.google.com/spreadsheets/d/1-uDff_7J0KD5mKrp0Vvzr7lt3OU09vwQwhkpOPPYv2Y/edit?usp=sharing"",""งบพรบ!AH72"")"),434700)</f>
        <v>434700</v>
      </c>
      <c r="N64" s="427">
        <f ca="1">IFERROR(__xludf.DUMMYFUNCTION("IMPORTRANGE(""https://docs.google.com/spreadsheets/d/1-uDff_7J0KD5mKrp0Vvzr7lt3OU09vwQwhkpOPPYv2Y/edit?usp=sharing"",""งบพรบ!AJ72"")"),297535.25)</f>
        <v>297535.25</v>
      </c>
      <c r="O64" s="427">
        <f t="shared" ca="1" si="8"/>
        <v>51.574839660253076</v>
      </c>
      <c r="P64" s="427">
        <f t="shared" ca="1" si="9"/>
        <v>68.44611226132966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IFERROR(__xludf.DUMMYFUNCTION("IMPORTRANGE(""https://docs.google.com/spreadsheets/d/1-uDff_7J0KD5mKrp0Vvzr7lt3OU09vwQwhkpOPPYv2Y/edit?usp=sharing"",""งบพรบ!AF72"")"),0)</f>
        <v>0</v>
      </c>
      <c r="M67" s="624">
        <f ca="1">IFERROR(__xludf.DUMMYFUNCTION("IMPORTRANGE(""https://docs.google.com/spreadsheets/d/1-uDff_7J0KD5mKrp0Vvzr7lt3OU09vwQwhkpOPPYv2Y/edit?usp=sharing"",""งบพรบ!AI72"")"),0)</f>
        <v>0</v>
      </c>
      <c r="N67" s="624">
        <f ca="1">IFERROR(__xludf.DUMMYFUNCTION("IMPORTRANGE(""https://docs.google.com/spreadsheets/d/1-uDff_7J0KD5mKrp0Vvzr7lt3OU09vwQwhkpOPPYv2Y/edit?usp=sharing"",""งบพรบ!AK72"")"),0)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IFERROR(__xludf.DUMMYFUNCTION("IMPORTRANGE(""https://docs.google.com/spreadsheets/d/1-uDff_7J0KD5mKrp0Vvzr7lt3OU09vwQwhkpOPPYv2Y/edit?usp=sharing"",""งบพรบ!AM72"")"),0)</f>
        <v>0</v>
      </c>
      <c r="M77" s="427">
        <f ca="1">IFERROR(__xludf.DUMMYFUNCTION("IMPORTRANGE(""https://docs.google.com/spreadsheets/d/1-uDff_7J0KD5mKrp0Vvzr7lt3OU09vwQwhkpOPPYv2Y/edit?usp=sharing"",""งบพรบ!AR72"")"),0)</f>
        <v>0</v>
      </c>
      <c r="N77" s="427">
        <f ca="1">IFERROR(__xludf.DUMMYFUNCTION("IMPORTRANGE(""https://docs.google.com/spreadsheets/d/1-uDff_7J0KD5mKrp0Vvzr7lt3OU09vwQwhkpOPPYv2Y/edit?usp=sharing"",""งบพรบ!AT72"")"),0)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IFERROR(__xludf.DUMMYFUNCTION("IMPORTRANGE(""https://docs.google.com/spreadsheets/d/1-uDff_7J0KD5mKrp0Vvzr7lt3OU09vwQwhkpOPPYv2Y/edit?usp=sharing"",""งบพรบ!AP72"")"),0)</f>
        <v>0</v>
      </c>
      <c r="M80" s="427">
        <f ca="1">IFERROR(__xludf.DUMMYFUNCTION("IMPORTRANGE(""https://docs.google.com/spreadsheets/d/1-uDff_7J0KD5mKrp0Vvzr7lt3OU09vwQwhkpOPPYv2Y/edit?usp=sharing"",""งบพรบ!AS72"")"),0)</f>
        <v>0</v>
      </c>
      <c r="N80" s="427">
        <f ca="1">IFERROR(__xludf.DUMMYFUNCTION("IMPORTRANGE(""https://docs.google.com/spreadsheets/d/1-uDff_7J0KD5mKrp0Vvzr7lt3OU09vwQwhkpOPPYv2Y/edit?usp=sharing"",""งบพรบ!AU72"")"),0)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IFERROR(__xludf.DUMMYFUNCTION("IMPORTRANGE(""https://docs.google.com/spreadsheets/d/1eHaY18a8A9IcSdp1K8H6x8fbOy06t2VsZHhMHf-1x7Y/edit?usp=sharing"",""แผน!H72"")"),0)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IFERROR(__xludf.DUMMYFUNCTION("IMPORTRANGE(""https://docs.google.com/spreadsheets/d/1eHaY18a8A9IcSdp1K8H6x8fbOy06t2VsZHhMHf-1x7Y/edit?usp=sharing"",""แผน!I72"")"),0)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IFERROR(__xludf.DUMMYFUNCTION("IMPORTRANGE(""https://docs.google.com/spreadsheets/d/1eHaY18a8A9IcSdp1K8H6x8fbOy06t2VsZHhMHf-1x7Y/edit?usp=sharing"",""แผน!F72"")"),0)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IFERROR(__xludf.DUMMYFUNCTION("IMPORTRANGE(""https://docs.google.com/spreadsheets/d/1eHaY18a8A9IcSdp1K8H6x8fbOy06t2VsZHhMHf-1x7Y/edit?usp=sharing"",""แผน!G72"")"),0)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IFERROR(__xludf.DUMMYFUNCTION("IMPORTRANGE(""https://docs.google.com/spreadsheets/d/1eHaY18a8A9IcSdp1K8H6x8fbOy06t2VsZHhMHf-1x7Y/edit?usp=sharing"",""แผน!D72"")"),0)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IFERROR(__xludf.DUMMYFUNCTION("IMPORTRANGE(""https://docs.google.com/spreadsheets/d/1eHaY18a8A9IcSdp1K8H6x8fbOy06t2VsZHhMHf-1x7Y/edit?usp=sharing"",""แผน!E72"")"),0)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IFERROR(__xludf.DUMMYFUNCTION("IMPORTRANGE(""https://docs.google.com/spreadsheets/d/1eHaY18a8A9IcSdp1K8H6x8fbOy06t2VsZHhMHf-1x7Y/edit?usp=sharing"",""แผน!J72"")"),0)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IFERROR(__xludf.DUMMYFUNCTION("IMPORTRANGE(""https://docs.google.com/spreadsheets/d/1-uDff_7J0KD5mKrp0Vvzr7lt3OU09vwQwhkpOPPYv2Y/edit?usp=sharing"",""งบพรบ!AW72"")"),0)</f>
        <v>0</v>
      </c>
      <c r="M99" s="427">
        <f ca="1">IFERROR(__xludf.DUMMYFUNCTION("IMPORTRANGE(""https://docs.google.com/spreadsheets/d/1-uDff_7J0KD5mKrp0Vvzr7lt3OU09vwQwhkpOPPYv2Y/edit?usp=sharing"",""งบพรบ!BB72"")"),0)</f>
        <v>0</v>
      </c>
      <c r="N99" s="427">
        <f ca="1">IFERROR(__xludf.DUMMYFUNCTION("IMPORTRANGE(""https://docs.google.com/spreadsheets/d/1-uDff_7J0KD5mKrp0Vvzr7lt3OU09vwQwhkpOPPYv2Y/edit?usp=sharing"",""งบพรบ!BD72"")"),0)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IFERROR(__xludf.DUMMYFUNCTION("IMPORTRANGE(""https://docs.google.com/spreadsheets/d/1-uDff_7J0KD5mKrp0Vvzr7lt3OU09vwQwhkpOPPYv2Y/edit?usp=sharing"",""งบพรบ!AZ72"")"),0)</f>
        <v>0</v>
      </c>
      <c r="M102" s="427">
        <f ca="1">IFERROR(__xludf.DUMMYFUNCTION("IMPORTRANGE(""https://docs.google.com/spreadsheets/d/1-uDff_7J0KD5mKrp0Vvzr7lt3OU09vwQwhkpOPPYv2Y/edit?usp=sharing"",""งบพรบ!BC72"")"),0)</f>
        <v>0</v>
      </c>
      <c r="N102" s="427">
        <f ca="1">IFERROR(__xludf.DUMMYFUNCTION("IMPORTRANGE(""https://docs.google.com/spreadsheets/d/1-uDff_7J0KD5mKrp0Vvzr7lt3OU09vwQwhkpOPPYv2Y/edit?usp=sharing"",""งบพรบ!BE72"")"),0)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IFERROR(__xludf.DUMMYFUNCTION("IMPORTRANGE(""https://docs.google.com/spreadsheets/d/1eHaY18a8A9IcSdp1K8H6x8fbOy06t2VsZHhMHf-1x7Y/edit?usp=sharing"",""แผน!N72"")"),0)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IFERROR(__xludf.DUMMYFUNCTION("IMPORTRANGE(""https://docs.google.com/spreadsheets/d/1eHaY18a8A9IcSdp1K8H6x8fbOy06t2VsZHhMHf-1x7Y/edit?usp=sharing"",""แผน!O72"")"),0)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IFERROR(__xludf.DUMMYFUNCTION("IMPORTRANGE(""https://docs.google.com/spreadsheets/d/1eHaY18a8A9IcSdp1K8H6x8fbOy06t2VsZHhMHf-1x7Y/edit?usp=sharing"",""แผน!R72"")"),0)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IFERROR(__xludf.DUMMYFUNCTION("IMPORTRANGE(""https://docs.google.com/spreadsheets/d/1-uDff_7J0KD5mKrp0Vvzr7lt3OU09vwQwhkpOPPYv2Y/edit?usp=sharing"",""งบพรบ!BG72"")"),0)</f>
        <v>0</v>
      </c>
      <c r="M130" s="864">
        <f ca="1">IFERROR(__xludf.DUMMYFUNCTION("IMPORTRANGE(""https://docs.google.com/spreadsheets/d/1-uDff_7J0KD5mKrp0Vvzr7lt3OU09vwQwhkpOPPYv2Y/edit?usp=sharing"",""งบพรบ!BL72"")"),0)</f>
        <v>0</v>
      </c>
      <c r="N130" s="864">
        <f ca="1">IFERROR(__xludf.DUMMYFUNCTION("IMPORTRANGE(""https://docs.google.com/spreadsheets/d/1-uDff_7J0KD5mKrp0Vvzr7lt3OU09vwQwhkpOPPYv2Y/edit?usp=sharing"",""งบพรบ!BN72"")"),0)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IFERROR(__xludf.DUMMYFUNCTION("IMPORTRANGE(""https://docs.google.com/spreadsheets/d/1-uDff_7J0KD5mKrp0Vvzr7lt3OU09vwQwhkpOPPYv2Y/edit?usp=sharing"",""งบพรบ!BJ72"")"),0)</f>
        <v>0</v>
      </c>
      <c r="M133" s="864">
        <f ca="1">IFERROR(__xludf.DUMMYFUNCTION("IMPORTRANGE(""https://docs.google.com/spreadsheets/d/1-uDff_7J0KD5mKrp0Vvzr7lt3OU09vwQwhkpOPPYv2Y/edit?usp=sharing"",""งบพรบ!BM72"")"),0)</f>
        <v>0</v>
      </c>
      <c r="N133" s="864">
        <f ca="1">IFERROR(__xludf.DUMMYFUNCTION("IMPORTRANGE(""https://docs.google.com/spreadsheets/d/1-uDff_7J0KD5mKrp0Vvzr7lt3OU09vwQwhkpOPPYv2Y/edit?usp=sharing"",""งบพรบ!BO72"")"),0)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IFERROR(__xludf.DUMMYFUNCTION("IMPORTRANGE(""https://docs.google.com/spreadsheets/d/1-uDff_7J0KD5mKrp0Vvzr7lt3OU09vwQwhkpOPPYv2Y/edit?usp=sharing"",""งบพรบ!BQ72"")"),0)</f>
        <v>0</v>
      </c>
      <c r="M144" s="427">
        <f ca="1">IFERROR(__xludf.DUMMYFUNCTION("IMPORTRANGE(""https://docs.google.com/spreadsheets/d/1-uDff_7J0KD5mKrp0Vvzr7lt3OU09vwQwhkpOPPYv2Y/edit?usp=sharing"",""งบพรบ!BV72"")"),0)</f>
        <v>0</v>
      </c>
      <c r="N144" s="427">
        <f ca="1">IFERROR(__xludf.DUMMYFUNCTION("IMPORTRANGE(""https://docs.google.com/spreadsheets/d/1-uDff_7J0KD5mKrp0Vvzr7lt3OU09vwQwhkpOPPYv2Y/edit?usp=sharing"",""งบพรบ!BX72"")"),0)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IFERROR(__xludf.DUMMYFUNCTION("IMPORTRANGE(""https://docs.google.com/spreadsheets/d/1-uDff_7J0KD5mKrp0Vvzr7lt3OU09vwQwhkpOPPYv2Y/edit?usp=sharing"",""งบพรบ!BT72"")"),0)</f>
        <v>0</v>
      </c>
      <c r="M147" s="427">
        <f ca="1">IFERROR(__xludf.DUMMYFUNCTION("IMPORTRANGE(""https://docs.google.com/spreadsheets/d/1-uDff_7J0KD5mKrp0Vvzr7lt3OU09vwQwhkpOPPYv2Y/edit?usp=sharing"",""งบพรบ!BW72"")"),0)</f>
        <v>0</v>
      </c>
      <c r="N147" s="427">
        <f ca="1">IFERROR(__xludf.DUMMYFUNCTION("IMPORTRANGE(""https://docs.google.com/spreadsheets/d/1-uDff_7J0KD5mKrp0Vvzr7lt3OU09vwQwhkpOPPYv2Y/edit?usp=sharing"",""งบพรบ!BY72"")"),0)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IFERROR(__xludf.DUMMYFUNCTION("IMPORTRANGE(""https://docs.google.com/spreadsheets/d/1eHaY18a8A9IcSdp1K8H6x8fbOy06t2VsZHhMHf-1x7Y/edit?usp=sharing"",""แผน!U72"")"),0)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IFERROR(__xludf.DUMMYFUNCTION("IMPORTRANGE(""https://docs.google.com/spreadsheets/d/1eHaY18a8A9IcSdp1K8H6x8fbOy06t2VsZHhMHf-1x7Y/edit?usp=sharing"",""แผน!V72"")"),0)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IFERROR(__xludf.DUMMYFUNCTION("IMPORTRANGE(""https://docs.google.com/spreadsheets/d/1eHaY18a8A9IcSdp1K8H6x8fbOy06t2VsZHhMHf-1x7Y/edit?usp=sharing"",""แผน!W72"")"),0)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IFERROR(__xludf.DUMMYFUNCTION("IMPORTRANGE(""https://docs.google.com/spreadsheets/d/1eHaY18a8A9IcSdp1K8H6x8fbOy06t2VsZHhMHf-1x7Y/edit?usp=sharing"",""แผน!X72"")"),0)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IFERROR(__xludf.DUMMYFUNCTION("IMPORTRANGE(""https://docs.google.com/spreadsheets/d/1eHaY18a8A9IcSdp1K8H6x8fbOy06t2VsZHhMHf-1x7Y/edit?usp=sharing"",""แผน!Y72"")"),0)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IFERROR(__xludf.DUMMYFUNCTION("IMPORTRANGE(""https://docs.google.com/spreadsheets/d/1-uDff_7J0KD5mKrp0Vvzr7lt3OU09vwQwhkpOPPYv2Y/edit?usp=sharing"",""งบพรบ!CA72"")"),3000)</f>
        <v>3000</v>
      </c>
      <c r="M162" s="427">
        <f ca="1">IFERROR(__xludf.DUMMYFUNCTION("IMPORTRANGE(""https://docs.google.com/spreadsheets/d/1-uDff_7J0KD5mKrp0Vvzr7lt3OU09vwQwhkpOPPYv2Y/edit?usp=sharing"",""งบพรบ!CF72"")"),0)</f>
        <v>0</v>
      </c>
      <c r="N162" s="427">
        <f ca="1">IFERROR(__xludf.DUMMYFUNCTION("IMPORTRANGE(""https://docs.google.com/spreadsheets/d/1-uDff_7J0KD5mKrp0Vvzr7lt3OU09vwQwhkpOPPYv2Y/edit?usp=sharing"",""งบพรบ!CH72"")"),0)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IFERROR(__xludf.DUMMYFUNCTION("IMPORTRANGE(""https://docs.google.com/spreadsheets/d/1-uDff_7J0KD5mKrp0Vvzr7lt3OU09vwQwhkpOPPYv2Y/edit?usp=sharing"",""งบพรบ!CD72"")"),0)</f>
        <v>0</v>
      </c>
      <c r="M165" s="427">
        <f ca="1">IFERROR(__xludf.DUMMYFUNCTION("IMPORTRANGE(""https://docs.google.com/spreadsheets/d/1-uDff_7J0KD5mKrp0Vvzr7lt3OU09vwQwhkpOPPYv2Y/edit?usp=sharing"",""งบพรบ!CG72"")"),0)</f>
        <v>0</v>
      </c>
      <c r="N165" s="427">
        <f ca="1">IFERROR(__xludf.DUMMYFUNCTION("IMPORTRANGE(""https://docs.google.com/spreadsheets/d/1-uDff_7J0KD5mKrp0Vvzr7lt3OU09vwQwhkpOPPYv2Y/edit?usp=sharing"",""งบพรบ!CI72"")"),0)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IFERROR(__xludf.DUMMYFUNCTION("IMPORTRANGE(""https://docs.google.com/spreadsheets/d/1eHaY18a8A9IcSdp1K8H6x8fbOy06t2VsZHhMHf-1x7Y/edit?usp=sharing"",""แผน!Z72"")"),10)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2700</v>
      </c>
      <c r="O173" s="715">
        <f t="shared" ref="O173:O181" ca="1" si="27">IF(L173&gt;0,N173*100/L173,0)</f>
        <v>13.782542113323125</v>
      </c>
      <c r="P173" s="715">
        <f t="shared" ref="P173:P181" ca="1" si="28">IF(M173&gt;0,N173*100/M173,0)</f>
        <v>13.782542113323125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2700</v>
      </c>
      <c r="O175" s="427">
        <f t="shared" ca="1" si="27"/>
        <v>13.782542113323125</v>
      </c>
      <c r="P175" s="427">
        <f t="shared" ca="1" si="28"/>
        <v>13.782542113323125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2700</v>
      </c>
      <c r="O176" s="427">
        <f t="shared" ca="1" si="27"/>
        <v>13.782542113323125</v>
      </c>
      <c r="P176" s="427">
        <f t="shared" ca="1" si="28"/>
        <v>13.782542113323125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IFERROR(__xludf.DUMMYFUNCTION("IMPORTRANGE(""https://docs.google.com/spreadsheets/d/1-uDff_7J0KD5mKrp0Vvzr7lt3OU09vwQwhkpOPPYv2Y/edit?usp=sharing"",""งบพรบ!CK72"")"),19590)</f>
        <v>19590</v>
      </c>
      <c r="M178" s="427">
        <f ca="1">IFERROR(__xludf.DUMMYFUNCTION("IMPORTRANGE(""https://docs.google.com/spreadsheets/d/1-uDff_7J0KD5mKrp0Vvzr7lt3OU09vwQwhkpOPPYv2Y/edit?usp=sharing"",""งบพรบ!CP72"")"),19590)</f>
        <v>19590</v>
      </c>
      <c r="N178" s="427">
        <f ca="1">IFERROR(__xludf.DUMMYFUNCTION("IMPORTRANGE(""https://docs.google.com/spreadsheets/d/1-uDff_7J0KD5mKrp0Vvzr7lt3OU09vwQwhkpOPPYv2Y/edit?usp=sharing"",""งบพรบ!CR72"")"),2700)</f>
        <v>2700</v>
      </c>
      <c r="O178" s="427">
        <f t="shared" ca="1" si="27"/>
        <v>13.782542113323125</v>
      </c>
      <c r="P178" s="427">
        <f t="shared" ca="1" si="28"/>
        <v>13.782542113323125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IFERROR(__xludf.DUMMYFUNCTION("IMPORTRANGE(""https://docs.google.com/spreadsheets/d/1-uDff_7J0KD5mKrp0Vvzr7lt3OU09vwQwhkpOPPYv2Y/edit?usp=sharing"",""งบพรบ!CN72"")"),0)</f>
        <v>0</v>
      </c>
      <c r="M181" s="427">
        <f ca="1">IFERROR(__xludf.DUMMYFUNCTION("IMPORTRANGE(""https://docs.google.com/spreadsheets/d/1-uDff_7J0KD5mKrp0Vvzr7lt3OU09vwQwhkpOPPYv2Y/edit?usp=sharing"",""งบพรบ!CQ72"")"),0)</f>
        <v>0</v>
      </c>
      <c r="N181" s="427">
        <f ca="1">IFERROR(__xludf.DUMMYFUNCTION("IMPORTRANGE(""https://docs.google.com/spreadsheets/d/1-uDff_7J0KD5mKrp0Vvzr7lt3OU09vwQwhkpOPPYv2Y/edit?usp=sharing"",""งบพรบ!CS72"")"),0)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IFERROR(__xludf.DUMMYFUNCTION("IMPORTRANGE(""https://docs.google.com/spreadsheets/d/1eHaY18a8A9IcSdp1K8H6x8fbOy06t2VsZHhMHf-1x7Y/edit?usp=sharing"",""แผน!AA72"")"),7)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23500</v>
      </c>
      <c r="M186" s="715">
        <f ca="1">M187+M188</f>
        <v>13500</v>
      </c>
      <c r="N186" s="715">
        <f ca="1">N187+N188</f>
        <v>0</v>
      </c>
      <c r="O186" s="715">
        <f t="shared" ref="O186:O194" ca="1" si="30">IF(L186&gt;0,N186*100/L186,0)</f>
        <v>0</v>
      </c>
      <c r="P186" s="715">
        <f t="shared" ref="P186:P194" ca="1" si="31">IF(M186&gt;0,N186*100/M186,0)</f>
        <v>0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23500</v>
      </c>
      <c r="M188" s="427">
        <f t="shared" ca="1" si="32"/>
        <v>13500</v>
      </c>
      <c r="N188" s="427">
        <f t="shared" ca="1" si="32"/>
        <v>0</v>
      </c>
      <c r="O188" s="427">
        <f t="shared" ca="1" si="30"/>
        <v>0</v>
      </c>
      <c r="P188" s="427">
        <f t="shared" ca="1" si="31"/>
        <v>0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23500</v>
      </c>
      <c r="M189" s="427">
        <f ca="1">M190+M191</f>
        <v>13500</v>
      </c>
      <c r="N189" s="427">
        <f ca="1">N190+N191</f>
        <v>0</v>
      </c>
      <c r="O189" s="427">
        <f t="shared" ca="1" si="30"/>
        <v>0</v>
      </c>
      <c r="P189" s="427">
        <f t="shared" ca="1" si="31"/>
        <v>0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IFERROR(__xludf.DUMMYFUNCTION("IMPORTRANGE(""https://docs.google.com/spreadsheets/d/1-uDff_7J0KD5mKrp0Vvzr7lt3OU09vwQwhkpOPPYv2Y/edit?usp=sharing"",""งบพรบ!CU72"")"),23500)</f>
        <v>23500</v>
      </c>
      <c r="M191" s="427">
        <f ca="1">IFERROR(__xludf.DUMMYFUNCTION("IMPORTRANGE(""https://docs.google.com/spreadsheets/d/1-uDff_7J0KD5mKrp0Vvzr7lt3OU09vwQwhkpOPPYv2Y/edit?usp=sharing"",""งบพรบ!CZ72"")"),13500)</f>
        <v>13500</v>
      </c>
      <c r="N191" s="427">
        <f ca="1">IFERROR(__xludf.DUMMYFUNCTION("IMPORTRANGE(""https://docs.google.com/spreadsheets/d/1-uDff_7J0KD5mKrp0Vvzr7lt3OU09vwQwhkpOPPYv2Y/edit?usp=sharing"",""งบพรบ!DB72"")"),0)</f>
        <v>0</v>
      </c>
      <c r="O191" s="427">
        <f t="shared" ca="1" si="30"/>
        <v>0</v>
      </c>
      <c r="P191" s="427">
        <f t="shared" ca="1" si="31"/>
        <v>0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IFERROR(__xludf.DUMMYFUNCTION("IMPORTRANGE(""https://docs.google.com/spreadsheets/d/1-uDff_7J0KD5mKrp0Vvzr7lt3OU09vwQwhkpOPPYv2Y/edit?usp=sharing"",""งบพรบ!CX72"")"),0)</f>
        <v>0</v>
      </c>
      <c r="M194" s="427">
        <f ca="1">IFERROR(__xludf.DUMMYFUNCTION("IMPORTRANGE(""https://docs.google.com/spreadsheets/d/1-uDff_7J0KD5mKrp0Vvzr7lt3OU09vwQwhkpOPPYv2Y/edit?usp=sharing"",""งบพรบ!DA72"")"),0)</f>
        <v>0</v>
      </c>
      <c r="N194" s="427">
        <f ca="1">IFERROR(__xludf.DUMMYFUNCTION("IMPORTRANGE(""https://docs.google.com/spreadsheets/d/1-uDff_7J0KD5mKrp0Vvzr7lt3OU09vwQwhkpOPPYv2Y/edit?usp=sharing"",""งบพรบ!DC72"")"),0)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IFERROR(__xludf.DUMMYFUNCTION("IMPORTRANGE(""https://docs.google.com/spreadsheets/d/1eHaY18a8A9IcSdp1K8H6x8fbOy06t2VsZHhMHf-1x7Y/edit?usp=sharing"",""แผน!AB72"")"),6000)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IFERROR(__xludf.DUMMYFUNCTION("IMPORTRANGE(""https://docs.google.com/spreadsheets/d/1eHaY18a8A9IcSdp1K8H6x8fbOy06t2VsZHhMHf-1x7Y/edit?usp=sharing"",""แผน!AE72"")"),4)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0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IFERROR(__xludf.DUMMYFUNCTION("IMPORTRANGE(""https://docs.google.com/spreadsheets/d/1eHaY18a8A9IcSdp1K8H6x8fbOy06t2VsZHhMHf-1x7Y/edit?usp=sharing"",""แผน!AG72"")"),1000)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IFERROR(__xludf.DUMMYFUNCTION("IMPORTRANGE(""https://docs.google.com/spreadsheets/d/1eHaY18a8A9IcSdp1K8H6x8fbOy06t2VsZHhMHf-1x7Y/edit?usp=sharing"",""แผน!AH72"")"),0)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IFERROR(__xludf.DUMMYFUNCTION("IMPORTRANGE(""https://docs.google.com/spreadsheets/d/1eHaY18a8A9IcSdp1K8H6x8fbOy06t2VsZHhMHf-1x7Y/edit?usp=sharing"",""แผน!AI72"")"),8000)</f>
        <v>8000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IFERROR(__xludf.DUMMYFUNCTION("IMPORTRANGE(""https://docs.google.com/spreadsheets/d/1eHaY18a8A9IcSdp1K8H6x8fbOy06t2VsZHhMHf-1x7Y/edit?usp=sharing"",""แผน!AJ72"")"),4000)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IFERROR(__xludf.DUMMYFUNCTION("IMPORTRANGE(""https://docs.google.com/spreadsheets/d/1eHaY18a8A9IcSdp1K8H6x8fbOy06t2VsZHhMHf-1x7Y/edit?usp=sharing"",""แผน!AK72"")"),1)</f>
        <v>1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IFERROR(__xludf.DUMMYFUNCTION("IMPORTRANGE(""https://docs.google.com/spreadsheets/d/1eHaY18a8A9IcSdp1K8H6x8fbOy06t2VsZHhMHf-1x7Y/edit?usp=sharing"",""แผน!JX72"")"),1)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IFERROR(__xludf.DUMMYFUNCTION("IMPORTRANGE(""https://docs.google.com/spreadsheets/d/1eHaY18a8A9IcSdp1K8H6x8fbOy06t2VsZHhMHf-1x7Y/edit?usp=sharing"",""แผน!JY72"")"),0)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IFERROR(__xludf.DUMMYFUNCTION("IMPORTRANGE(""https://docs.google.com/spreadsheets/d/1eHaY18a8A9IcSdp1K8H6x8fbOy06t2VsZHhMHf-1x7Y/edit?usp=sharing"",""แผน!AM72"")"),0)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IFERROR(__xludf.DUMMYFUNCTION("IMPORTRANGE(""https://docs.google.com/spreadsheets/d/1eHaY18a8A9IcSdp1K8H6x8fbOy06t2VsZHhMHf-1x7Y/edit?usp=sharing"",""แผน!AN72"")"),0)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IFERROR(__xludf.DUMMYFUNCTION("IMPORTRANGE(""https://docs.google.com/spreadsheets/d/1eHaY18a8A9IcSdp1K8H6x8fbOy06t2VsZHhMHf-1x7Y/edit?usp=sharing"",""แผน!AO72"")"),0)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IFERROR(__xludf.DUMMYFUNCTION("IMPORTRANGE(""https://docs.google.com/spreadsheets/d/1eHaY18a8A9IcSdp1K8H6x8fbOy06t2VsZHhMHf-1x7Y/edit?usp=sharing"",""แผน!AP72"")"),0)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IFERROR(__xludf.DUMMYFUNCTION("IMPORTRANGE(""https://docs.google.com/spreadsheets/d/1eHaY18a8A9IcSdp1K8H6x8fbOy06t2VsZHhMHf-1x7Y/edit?usp=sharing"",""แผน!AP72"")"),0)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IFERROR(__xludf.DUMMYFUNCTION("IMPORTRANGE(""https://docs.google.com/spreadsheets/d/1eHaY18a8A9IcSdp1K8H6x8fbOy06t2VsZHhMHf-1x7Y/edit?usp=sharing"",""แผน!AR72"")"),3000)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IFERROR(__xludf.DUMMYFUNCTION("IMPORTRANGE(""https://docs.google.com/spreadsheets/d/1eHaY18a8A9IcSdp1K8H6x8fbOy06t2VsZHhMHf-1x7Y/edit?usp=sharing"",""แผน!AS72"")"),1500)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IFERROR(__xludf.DUMMYFUNCTION("IMPORTRANGE(""https://docs.google.com/spreadsheets/d/1eHaY18a8A9IcSdp1K8H6x8fbOy06t2VsZHhMHf-1x7Y/edit?usp=sharing"",""แผน!AT72"")"),0)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IFERROR(__xludf.DUMMYFUNCTION("IMPORTRANGE(""https://docs.google.com/spreadsheets/d/1eHaY18a8A9IcSdp1K8H6x8fbOy06t2VsZHhMHf-1x7Y/edit?usp=sharing"",""แผน!AV72"")"),20000)</f>
        <v>20000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IFERROR(__xludf.DUMMYFUNCTION("IMPORTRANGE(""https://docs.google.com/spreadsheets/d/1eHaY18a8A9IcSdp1K8H6x8fbOy06t2VsZHhMHf-1x7Y/edit?usp=sharing"",""แผน!AV72"")"),20000)</f>
        <v>20000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IFERROR(__xludf.DUMMYFUNCTION("IMPORTRANGE(""https://docs.google.com/spreadsheets/d/1eHaY18a8A9IcSdp1K8H6x8fbOy06t2VsZHhMHf-1x7Y/edit?usp=sharing"",""แผน!AU72"")"),0)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IFERROR(__xludf.DUMMYFUNCTION("IMPORTRANGE(""https://docs.google.com/spreadsheets/d/1eHaY18a8A9IcSdp1K8H6x8fbOy06t2VsZHhMHf-1x7Y/edit?usp=sharing"",""แผน!AX72"")"),0)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IFERROR(__xludf.DUMMYFUNCTION("IMPORTRANGE(""https://docs.google.com/spreadsheets/d/1eHaY18a8A9IcSdp1K8H6x8fbOy06t2VsZHhMHf-1x7Y/edit?usp=sharing"",""แผน!AY72"")"),0)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IFERROR(__xludf.DUMMYFUNCTION("IMPORTRANGE(""https://docs.google.com/spreadsheets/d/1eHaY18a8A9IcSdp1K8H6x8fbOy06t2VsZHhMHf-1x7Y/edit?usp=sharing"",""แผน!AZ72"")"),0)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IFERROR(__xludf.DUMMYFUNCTION("IMPORTRANGE(""https://docs.google.com/spreadsheets/d/1eHaY18a8A9IcSdp1K8H6x8fbOy06t2VsZHhMHf-1x7Y/edit?usp=sharing"",""แผน!BA72"")"),0)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IFERROR(__xludf.DUMMYFUNCTION("IMPORTRANGE(""https://docs.google.com/spreadsheets/d/1eHaY18a8A9IcSdp1K8H6x8fbOy06t2VsZHhMHf-1x7Y/edit?usp=sharing"",""แผน!BG72"")"),0)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IFERROR(__xludf.DUMMYFUNCTION("IMPORTRANGE(""https://docs.google.com/spreadsheets/d/1eHaY18a8A9IcSdp1K8H6x8fbOy06t2VsZHhMHf-1x7Y/edit?usp=sharing"",""แผน!BB72"")"),0)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IFERROR(__xludf.DUMMYFUNCTION("IMPORTRANGE(""https://docs.google.com/spreadsheets/d/1eHaY18a8A9IcSdp1K8H6x8fbOy06t2VsZHhMHf-1x7Y/edit?usp=sharing"",""แผน!BC72"")"),0)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IFERROR(__xludf.DUMMYFUNCTION("IMPORTRANGE(""https://docs.google.com/spreadsheets/d/1eHaY18a8A9IcSdp1K8H6x8fbOy06t2VsZHhMHf-1x7Y/edit?usp=sharing"",""แผน!BD72"")"),0)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IFERROR(__xludf.DUMMYFUNCTION("IMPORTRANGE(""https://docs.google.com/spreadsheets/d/1eHaY18a8A9IcSdp1K8H6x8fbOy06t2VsZHhMHf-1x7Y/edit?usp=sharing"",""แผน!BE72"")"),0)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IFERROR(__xludf.DUMMYFUNCTION("IMPORTRANGE(""https://docs.google.com/spreadsheets/d/1eHaY18a8A9IcSdp1K8H6x8fbOy06t2VsZHhMHf-1x7Y/edit?usp=sharing"",""แผน!BH72"")"),0)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IFERROR(__xludf.DUMMYFUNCTION("IMPORTRANGE(""https://docs.google.com/spreadsheets/d/1-uDff_7J0KD5mKrp0Vvzr7lt3OU09vwQwhkpOPPYv2Y/edit?usp=sharing"",""งบพรบ!DE72"")"),0)</f>
        <v>0</v>
      </c>
      <c r="M271" s="502">
        <f ca="1">IFERROR(__xludf.DUMMYFUNCTION("IMPORTRANGE(""https://docs.google.com/spreadsheets/d/1-uDff_7J0KD5mKrp0Vvzr7lt3OU09vwQwhkpOPPYv2Y/edit?usp=sharing"",""งบพรบ!DJ72"")"),0)</f>
        <v>0</v>
      </c>
      <c r="N271" s="502">
        <f ca="1">IFERROR(__xludf.DUMMYFUNCTION("IMPORTRANGE(""https://docs.google.com/spreadsheets/d/1-uDff_7J0KD5mKrp0Vvzr7lt3OU09vwQwhkpOPPYv2Y/edit?usp=sharing"",""งบพรบ!DL72"")"),0)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IFERROR(__xludf.DUMMYFUNCTION("IMPORTRANGE(""https://docs.google.com/spreadsheets/d/1-uDff_7J0KD5mKrp0Vvzr7lt3OU09vwQwhkpOPPYv2Y/edit?usp=sharing"",""งบพรบ!DH72"")"),0)</f>
        <v>0</v>
      </c>
      <c r="M274" s="502">
        <f ca="1">IFERROR(__xludf.DUMMYFUNCTION("IMPORTRANGE(""https://docs.google.com/spreadsheets/d/1-uDff_7J0KD5mKrp0Vvzr7lt3OU09vwQwhkpOPPYv2Y/edit?usp=sharing"",""งบพรบ!DK72"")"),0)</f>
        <v>0</v>
      </c>
      <c r="N274" s="502">
        <f ca="1">IFERROR(__xludf.DUMMYFUNCTION("IMPORTRANGE(""https://docs.google.com/spreadsheets/d/1-uDff_7J0KD5mKrp0Vvzr7lt3OU09vwQwhkpOPPYv2Y/edit?usp=sharing"",""งบพรบ!DM72"")"),0)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10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100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137720</v>
      </c>
      <c r="M282" s="715">
        <f ca="1">M283+M284</f>
        <v>102980</v>
      </c>
      <c r="N282" s="715">
        <f ca="1">N283+N284</f>
        <v>38350</v>
      </c>
      <c r="O282" s="715">
        <f t="shared" ref="O282:O290" ca="1" si="36">IF(L282&gt;0,N282*100/L282,0)</f>
        <v>27.846354923032241</v>
      </c>
      <c r="P282" s="715">
        <f t="shared" ref="P282:P290" ca="1" si="37">IF(M282&gt;0,N282*100/M282,0)</f>
        <v>37.240240823460866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137720</v>
      </c>
      <c r="M284" s="427">
        <f t="shared" ca="1" si="38"/>
        <v>102980</v>
      </c>
      <c r="N284" s="427">
        <f t="shared" ca="1" si="38"/>
        <v>38350</v>
      </c>
      <c r="O284" s="427">
        <f t="shared" ca="1" si="36"/>
        <v>27.846354923032241</v>
      </c>
      <c r="P284" s="427">
        <f t="shared" ca="1" si="37"/>
        <v>37.240240823460866</v>
      </c>
    </row>
    <row r="285" spans="1:16" ht="18.75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137720</v>
      </c>
      <c r="M285" s="427">
        <f ca="1">M286+M287</f>
        <v>102980</v>
      </c>
      <c r="N285" s="427">
        <f ca="1">N286+N287</f>
        <v>38350</v>
      </c>
      <c r="O285" s="427">
        <f t="shared" ca="1" si="36"/>
        <v>27.846354923032241</v>
      </c>
      <c r="P285" s="427">
        <f t="shared" ca="1" si="37"/>
        <v>37.240240823460866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IFERROR(__xludf.DUMMYFUNCTION("IMPORTRANGE(""https://docs.google.com/spreadsheets/d/1-uDff_7J0KD5mKrp0Vvzr7lt3OU09vwQwhkpOPPYv2Y/edit?usp=sharing"",""งบพรบ!DO72"")"),137720)</f>
        <v>137720</v>
      </c>
      <c r="M287" s="427">
        <f ca="1">IFERROR(__xludf.DUMMYFUNCTION("IMPORTRANGE(""https://docs.google.com/spreadsheets/d/1-uDff_7J0KD5mKrp0Vvzr7lt3OU09vwQwhkpOPPYv2Y/edit?usp=sharing"",""งบพรบ!DT72"")"),102980)</f>
        <v>102980</v>
      </c>
      <c r="N287" s="427">
        <f ca="1">IFERROR(__xludf.DUMMYFUNCTION("IMPORTRANGE(""https://docs.google.com/spreadsheets/d/1-uDff_7J0KD5mKrp0Vvzr7lt3OU09vwQwhkpOPPYv2Y/edit?usp=sharing"",""งบพรบ!DV72"")"),38350)</f>
        <v>38350</v>
      </c>
      <c r="O287" s="427">
        <f t="shared" ca="1" si="36"/>
        <v>27.846354923032241</v>
      </c>
      <c r="P287" s="427">
        <f t="shared" ca="1" si="37"/>
        <v>37.240240823460866</v>
      </c>
    </row>
    <row r="288" spans="1:16" ht="18.75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IFERROR(__xludf.DUMMYFUNCTION("IMPORTRANGE(""https://docs.google.com/spreadsheets/d/1-uDff_7J0KD5mKrp0Vvzr7lt3OU09vwQwhkpOPPYv2Y/edit?usp=sharing"",""งบพรบ!DR72"")"),0)</f>
        <v>0</v>
      </c>
      <c r="M290" s="427">
        <f ca="1">IFERROR(__xludf.DUMMYFUNCTION("IMPORTRANGE(""https://docs.google.com/spreadsheets/d/1-uDff_7J0KD5mKrp0Vvzr7lt3OU09vwQwhkpOPPYv2Y/edit?usp=sharing"",""งบพรบ!DU72"")"),0)</f>
        <v>0</v>
      </c>
      <c r="N290" s="427">
        <f ca="1">IFERROR(__xludf.DUMMYFUNCTION("IMPORTRANGE(""https://docs.google.com/spreadsheets/d/1-uDff_7J0KD5mKrp0Vvzr7lt3OU09vwQwhkpOPPYv2Y/edit?usp=sharing"",""งบพรบ!DW72"")"),0)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IFERROR(__xludf.DUMMYFUNCTION("IMPORTRANGE(""https://docs.google.com/spreadsheets/d/1eHaY18a8A9IcSdp1K8H6x8fbOy06t2VsZHhMHf-1x7Y/edit?usp=sharing"",""แผน!EE72"")"),100)</f>
        <v>100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IFERROR(__xludf.DUMMYFUNCTION("IMPORTRANGE(""https://docs.google.com/spreadsheets/d/1eHaY18a8A9IcSdp1K8H6x8fbOy06t2VsZHhMHf-1x7Y/edit?usp=sharing"",""แผน!ED72"")"),10)</f>
        <v>10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IFERROR(__xludf.DUMMYFUNCTION("IMPORTRANGE(""https://docs.google.com/spreadsheets/d/1eHaY18a8A9IcSdp1K8H6x8fbOy06t2VsZHhMHf-1x7Y/edit?usp=sharing"",""แผน!ED72"")"),10)</f>
        <v>10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IFERROR(__xludf.DUMMYFUNCTION("IMPORTRANGE(""https://docs.google.com/spreadsheets/d/1eHaY18a8A9IcSdp1K8H6x8fbOy06t2VsZHhMHf-1x7Y/edit?usp=sharing"",""แผน!ED72"")"),10)</f>
        <v>10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15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217100</v>
      </c>
      <c r="M303" s="715">
        <f ca="1">M304+M305</f>
        <v>159800</v>
      </c>
      <c r="N303" s="715">
        <f ca="1">N304+N305</f>
        <v>33840</v>
      </c>
      <c r="O303" s="715">
        <f t="shared" ref="O303:O311" ca="1" si="39">IF(L303&gt;0,N303*100/L303,0)</f>
        <v>15.587286964532474</v>
      </c>
      <c r="P303" s="715">
        <f t="shared" ref="P303:P311" ca="1" si="40">IF(M303&gt;0,N303*100/M303,0)</f>
        <v>21.176470588235293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217100</v>
      </c>
      <c r="M305" s="427">
        <f t="shared" ca="1" si="41"/>
        <v>159800</v>
      </c>
      <c r="N305" s="427">
        <f t="shared" ca="1" si="41"/>
        <v>33840</v>
      </c>
      <c r="O305" s="427">
        <f t="shared" ca="1" si="39"/>
        <v>15.587286964532474</v>
      </c>
      <c r="P305" s="427">
        <f t="shared" ca="1" si="40"/>
        <v>21.176470588235293</v>
      </c>
    </row>
    <row r="306" spans="1:16" ht="18.75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217100</v>
      </c>
      <c r="M306" s="427">
        <f ca="1">M307+M308</f>
        <v>159800</v>
      </c>
      <c r="N306" s="427">
        <f ca="1">N307+N308</f>
        <v>33840</v>
      </c>
      <c r="O306" s="427">
        <f t="shared" ca="1" si="39"/>
        <v>15.587286964532474</v>
      </c>
      <c r="P306" s="427">
        <f t="shared" ca="1" si="40"/>
        <v>21.176470588235293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IFERROR(__xludf.DUMMYFUNCTION("IMPORTRANGE(""https://docs.google.com/spreadsheets/d/1-uDff_7J0KD5mKrp0Vvzr7lt3OU09vwQwhkpOPPYv2Y/edit?usp=sharing"",""งบพรบ!DY72"")"),217100)</f>
        <v>217100</v>
      </c>
      <c r="M308" s="427">
        <f ca="1">IFERROR(__xludf.DUMMYFUNCTION("IMPORTRANGE(""https://docs.google.com/spreadsheets/d/1-uDff_7J0KD5mKrp0Vvzr7lt3OU09vwQwhkpOPPYv2Y/edit?usp=sharing"",""งบพรบ!ED72"")"),159800)</f>
        <v>159800</v>
      </c>
      <c r="N308" s="427">
        <f ca="1">IFERROR(__xludf.DUMMYFUNCTION("IMPORTRANGE(""https://docs.google.com/spreadsheets/d/1-uDff_7J0KD5mKrp0Vvzr7lt3OU09vwQwhkpOPPYv2Y/edit?usp=sharing"",""งบพรบ!EF72"")"),33840)</f>
        <v>33840</v>
      </c>
      <c r="O308" s="427">
        <f t="shared" ca="1" si="39"/>
        <v>15.587286964532474</v>
      </c>
      <c r="P308" s="427">
        <f t="shared" ca="1" si="40"/>
        <v>21.176470588235293</v>
      </c>
    </row>
    <row r="309" spans="1:16" ht="18.75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IFERROR(__xludf.DUMMYFUNCTION("IMPORTRANGE(""https://docs.google.com/spreadsheets/d/1-uDff_7J0KD5mKrp0Vvzr7lt3OU09vwQwhkpOPPYv2Y/edit?usp=sharing"",""งบพรบ!EB72"")"),0)</f>
        <v>0</v>
      </c>
      <c r="M311" s="427">
        <f ca="1">IFERROR(__xludf.DUMMYFUNCTION("IMPORTRANGE(""https://docs.google.com/spreadsheets/d/1-uDff_7J0KD5mKrp0Vvzr7lt3OU09vwQwhkpOPPYv2Y/edit?usp=sharing"",""งบพรบ!EE72"")"),0)</f>
        <v>0</v>
      </c>
      <c r="N311" s="427">
        <f ca="1">IFERROR(__xludf.DUMMYFUNCTION("IMPORTRANGE(""https://docs.google.com/spreadsheets/d/1-uDff_7J0KD5mKrp0Vvzr7lt3OU09vwQwhkpOPPYv2Y/edit?usp=sharing"",""งบพรบ!EG72"")"),0)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IFERROR(__xludf.DUMMYFUNCTION("IMPORTRANGE(""https://docs.google.com/spreadsheets/d/1eHaY18a8A9IcSdp1K8H6x8fbOy06t2VsZHhMHf-1x7Y/edit?usp=sharing"",""แผน!EF72"")"),15)</f>
        <v>15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IFERROR(__xludf.DUMMYFUNCTION("IMPORTRANGE(""https://docs.google.com/spreadsheets/d/1eHaY18a8A9IcSdp1K8H6x8fbOy06t2VsZHhMHf-1x7Y/edit?usp=sharing"",""แผน!EG72"")"),3)</f>
        <v>3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IFERROR(__xludf.DUMMYFUNCTION("IMPORTRANGE(""https://docs.google.com/spreadsheets/d/1eHaY18a8A9IcSdp1K8H6x8fbOy06t2VsZHhMHf-1x7Y/edit?usp=sharing"",""แผน!EH72"")"),15)</f>
        <v>15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IFERROR(__xludf.DUMMYFUNCTION("IMPORTRANGE(""https://docs.google.com/spreadsheets/d/1eHaY18a8A9IcSdp1K8H6x8fbOy06t2VsZHhMHf-1x7Y/edit?usp=sharing"",""แผน!EI72"")"),3)</f>
        <v>3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IFERROR(__xludf.DUMMYFUNCTION("IMPORTRANGE(""https://docs.google.com/spreadsheets/d/1-uDff_7J0KD5mKrp0Vvzr7lt3OU09vwQwhkpOPPYv2Y/edit?usp=sharing"",""งบพรบ!EI72"")"),0)</f>
        <v>0</v>
      </c>
      <c r="M325" s="427">
        <f ca="1">IFERROR(__xludf.DUMMYFUNCTION("IMPORTRANGE(""https://docs.google.com/spreadsheets/d/1-uDff_7J0KD5mKrp0Vvzr7lt3OU09vwQwhkpOPPYv2Y/edit?usp=sharing"",""งบพรบ!EN72"")"),0)</f>
        <v>0</v>
      </c>
      <c r="N325" s="427">
        <f ca="1">IFERROR(__xludf.DUMMYFUNCTION("IMPORTRANGE(""https://docs.google.com/spreadsheets/d/1-uDff_7J0KD5mKrp0Vvzr7lt3OU09vwQwhkpOPPYv2Y/edit?usp=sharing"",""งบพรบ!EP72"")"),0)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IFERROR(__xludf.DUMMYFUNCTION("IMPORTRANGE(""https://docs.google.com/spreadsheets/d/1-uDff_7J0KD5mKrp0Vvzr7lt3OU09vwQwhkpOPPYv2Y/edit?usp=sharing"",""งบพรบ!EL72"")"),0)</f>
        <v>0</v>
      </c>
      <c r="M328" s="427">
        <f ca="1">IFERROR(__xludf.DUMMYFUNCTION("IMPORTRANGE(""https://docs.google.com/spreadsheets/d/1-uDff_7J0KD5mKrp0Vvzr7lt3OU09vwQwhkpOPPYv2Y/edit?usp=sharing"",""งบพรบ!EO72"")"),0)</f>
        <v>0</v>
      </c>
      <c r="N328" s="427">
        <f ca="1">IFERROR(__xludf.DUMMYFUNCTION("IMPORTRANGE(""https://docs.google.com/spreadsheets/d/1-uDff_7J0KD5mKrp0Vvzr7lt3OU09vwQwhkpOPPYv2Y/edit?usp=sharing"",""งบพรบ!EQ72"")"),0)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IFERROR(__xludf.DUMMYFUNCTION("IMPORTRANGE(""https://docs.google.com/spreadsheets/d/1eHaY18a8A9IcSdp1K8H6x8fbOy06t2VsZHhMHf-1x7Y/edit?usp=sharing"",""แผน!EJ72"")"),0)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1540</v>
      </c>
      <c r="J332" s="404">
        <f ca="1">J344+J347+J348+J349+J353</f>
        <v>1640</v>
      </c>
      <c r="K332" s="405">
        <f ca="1">IF(I332&gt;0,J332*100/I332,0)</f>
        <v>106.49350649350649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106000</v>
      </c>
      <c r="M333" s="715">
        <f ca="1">M334+M335</f>
        <v>85750</v>
      </c>
      <c r="N333" s="715">
        <f ca="1">N334+N335</f>
        <v>23560</v>
      </c>
      <c r="O333" s="715">
        <f t="shared" ref="O333:O341" ca="1" si="45">IF(L333&gt;0,N333*100/L333,0)</f>
        <v>22.226415094339622</v>
      </c>
      <c r="P333" s="715">
        <f t="shared" ref="P333:P341" ca="1" si="46">IF(M333&gt;0,N333*100/M333,0)</f>
        <v>27.475218658892128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106000</v>
      </c>
      <c r="M335" s="427">
        <f t="shared" ca="1" si="47"/>
        <v>85750</v>
      </c>
      <c r="N335" s="427">
        <f t="shared" ca="1" si="47"/>
        <v>23560</v>
      </c>
      <c r="O335" s="427">
        <f t="shared" ca="1" si="45"/>
        <v>22.226415094339622</v>
      </c>
      <c r="P335" s="427">
        <f t="shared" ca="1" si="46"/>
        <v>27.475218658892128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106000</v>
      </c>
      <c r="M336" s="427">
        <f ca="1">M337+M338</f>
        <v>85750</v>
      </c>
      <c r="N336" s="427">
        <f ca="1">N337+N338</f>
        <v>23560</v>
      </c>
      <c r="O336" s="427">
        <f t="shared" ca="1" si="45"/>
        <v>22.226415094339622</v>
      </c>
      <c r="P336" s="427">
        <f t="shared" ca="1" si="46"/>
        <v>27.475218658892128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IFERROR(__xludf.DUMMYFUNCTION("IMPORTRANGE(""https://docs.google.com/spreadsheets/d/1-uDff_7J0KD5mKrp0Vvzr7lt3OU09vwQwhkpOPPYv2Y/edit?usp=sharing"",""งบพรบ!ES72"")"),106000)</f>
        <v>106000</v>
      </c>
      <c r="M338" s="427">
        <f ca="1">IFERROR(__xludf.DUMMYFUNCTION("IMPORTRANGE(""https://docs.google.com/spreadsheets/d/1-uDff_7J0KD5mKrp0Vvzr7lt3OU09vwQwhkpOPPYv2Y/edit?usp=sharing"",""งบพรบ!EX72"")"),85750)</f>
        <v>85750</v>
      </c>
      <c r="N338" s="427">
        <f ca="1">IFERROR(__xludf.DUMMYFUNCTION("IMPORTRANGE(""https://docs.google.com/spreadsheets/d/1-uDff_7J0KD5mKrp0Vvzr7lt3OU09vwQwhkpOPPYv2Y/edit?usp=sharing"",""งบพรบ!EZ72"")"),23560)</f>
        <v>23560</v>
      </c>
      <c r="O338" s="427">
        <f t="shared" ca="1" si="45"/>
        <v>22.226415094339622</v>
      </c>
      <c r="P338" s="427">
        <f t="shared" ca="1" si="46"/>
        <v>27.475218658892128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IFERROR(__xludf.DUMMYFUNCTION("IMPORTRANGE(""https://docs.google.com/spreadsheets/d/1-uDff_7J0KD5mKrp0Vvzr7lt3OU09vwQwhkpOPPYv2Y/edit?usp=sharing"",""งบพรบ!EV72"")"),0)</f>
        <v>0</v>
      </c>
      <c r="M341" s="427">
        <f ca="1">IFERROR(__xludf.DUMMYFUNCTION("IMPORTRANGE(""https://docs.google.com/spreadsheets/d/1-uDff_7J0KD5mKrp0Vvzr7lt3OU09vwQwhkpOPPYv2Y/edit?usp=sharing"",""งบพรบ!EY72"")"),0)</f>
        <v>0</v>
      </c>
      <c r="N341" s="427">
        <f ca="1">IFERROR(__xludf.DUMMYFUNCTION("IMPORTRANGE(""https://docs.google.com/spreadsheets/d/1-uDff_7J0KD5mKrp0Vvzr7lt3OU09vwQwhkpOPPYv2Y/edit?usp=sharing"",""งบพรบ!FA72"")"),0)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764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IFERROR(__xludf.DUMMYFUNCTION("IMPORTRANGE(""https://docs.google.com/spreadsheets/d/1eHaY18a8A9IcSdp1K8H6x8fbOy06t2VsZHhMHf-1x7Y/edit?usp=sharing"",""แผน!EK72"")"),1540)</f>
        <v>1540</v>
      </c>
      <c r="J344" s="426">
        <f ca="1">IFERROR(__xludf.DUMMYFUNCTION("IMPORTRANGE(""https://docs.google.com/spreadsheets/d/1awYsYK3VOup2i3Pq_Yjnu8DRu_mYwSBnCR2QPthd0rU/edit?usp=sharing"",""ศูนย์ยกเว้นโฉนด!D72"")"),738)</f>
        <v>738</v>
      </c>
      <c r="K344" s="427">
        <f ca="1">IF(I344&gt;0,J344*100/I344,0)</f>
        <v>47.922077922077925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IFERROR(__xludf.DUMMYFUNCTION("IMPORTRANGE(""https://docs.google.com/spreadsheets/d/1eHaY18a8A9IcSdp1K8H6x8fbOy06t2VsZHhMHf-1x7Y/edit?usp=sharing"",""แผน!EL72"")"),3)</f>
        <v>3</v>
      </c>
      <c r="J346" s="426">
        <f ca="1">IFERROR(__xludf.DUMMYFUNCTION("IMPORTRANGE(""https://docs.google.com/spreadsheets/d/1awYsYK3VOup2i3Pq_Yjnu8DRu_mYwSBnCR2QPthd0rU/edit?usp=sharing"",""ศูนย์รวม!E72"")"),6)</f>
        <v>6</v>
      </c>
      <c r="K346" s="427">
        <f ca="1">IF(I346&gt;0,J346*100/I346,0)</f>
        <v>200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IFERROR(__xludf.DUMMYFUNCTION("IMPORTRANGE(""https://docs.google.com/spreadsheets/d/1awYsYK3VOup2i3Pq_Yjnu8DRu_mYwSBnCR2QPthd0rU/edit?usp=sharing"",""ศูนย์ยกเว้นโฉนด!G72"")"),22)</f>
        <v>22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877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IFERROR(__xludf.DUMMYFUNCTION("IMPORTRANGE(""https://docs.google.com/spreadsheets/d/1awYsYK3VOup2i3Pq_Yjnu8DRu_mYwSBnCR2QPthd0rU/edit?usp=sharing"",""โฉนดM3!G72"")"),1)</f>
        <v>1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IFERROR(__xludf.DUMMYFUNCTION("IMPORTRANGE(""https://docs.google.com/spreadsheets/d/1awYsYK3VOup2i3Pq_Yjnu8DRu_mYwSBnCR2QPthd0rU/edit?usp=sharing"",""โฉนดM3!H72"")"),876)</f>
        <v>876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487565</v>
      </c>
      <c r="M356" s="715">
        <f ca="1">M357+M358</f>
        <v>385885</v>
      </c>
      <c r="N356" s="715">
        <f ca="1">N357+N358</f>
        <v>130163.84</v>
      </c>
      <c r="O356" s="715">
        <f t="shared" ref="O356:O364" ca="1" si="48">IF(L356&gt;0,N356*100/L356,0)</f>
        <v>26.696715309753571</v>
      </c>
      <c r="P356" s="715">
        <f t="shared" ref="P356:P364" ca="1" si="49">IF(M356&gt;0,N356*100/M356,0)</f>
        <v>33.731251538670847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487565</v>
      </c>
      <c r="M358" s="427">
        <f t="shared" ca="1" si="50"/>
        <v>385885</v>
      </c>
      <c r="N358" s="427">
        <f t="shared" ca="1" si="50"/>
        <v>130163.84</v>
      </c>
      <c r="O358" s="427">
        <f t="shared" ca="1" si="48"/>
        <v>26.696715309753571</v>
      </c>
      <c r="P358" s="427">
        <f t="shared" ca="1" si="49"/>
        <v>33.731251538670847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487565</v>
      </c>
      <c r="M359" s="427">
        <f ca="1">M360+M361</f>
        <v>385885</v>
      </c>
      <c r="N359" s="427">
        <f ca="1">N360+N361</f>
        <v>130163.84</v>
      </c>
      <c r="O359" s="427">
        <f t="shared" ca="1" si="48"/>
        <v>26.696715309753571</v>
      </c>
      <c r="P359" s="427">
        <f t="shared" ca="1" si="49"/>
        <v>33.731251538670847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IFERROR(__xludf.DUMMYFUNCTION("IMPORTRANGE(""https://docs.google.com/spreadsheets/d/1-uDff_7J0KD5mKrp0Vvzr7lt3OU09vwQwhkpOPPYv2Y/edit?usp=sharing"",""งบพรบ!FC72"")"),487565)</f>
        <v>487565</v>
      </c>
      <c r="M361" s="427">
        <f ca="1">IFERROR(__xludf.DUMMYFUNCTION("IMPORTRANGE(""https://docs.google.com/spreadsheets/d/1-uDff_7J0KD5mKrp0Vvzr7lt3OU09vwQwhkpOPPYv2Y/edit?usp=sharing"",""งบพรบ!FH72"")"),385885)</f>
        <v>385885</v>
      </c>
      <c r="N361" s="427">
        <f ca="1">IFERROR(__xludf.DUMMYFUNCTION("IMPORTRANGE(""https://docs.google.com/spreadsheets/d/1-uDff_7J0KD5mKrp0Vvzr7lt3OU09vwQwhkpOPPYv2Y/edit?usp=sharing"",""งบพรบ!FJ72"")"),130163.84)</f>
        <v>130163.84</v>
      </c>
      <c r="O361" s="427">
        <f t="shared" ca="1" si="48"/>
        <v>26.696715309753571</v>
      </c>
      <c r="P361" s="427">
        <f t="shared" ca="1" si="49"/>
        <v>33.731251538670847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IFERROR(__xludf.DUMMYFUNCTION("IMPORTRANGE(""https://docs.google.com/spreadsheets/d/1-uDff_7J0KD5mKrp0Vvzr7lt3OU09vwQwhkpOPPYv2Y/edit?usp=sharing"",""งบพรบ!FF72"")"),0)</f>
        <v>0</v>
      </c>
      <c r="M364" s="427">
        <f ca="1">IFERROR(__xludf.DUMMYFUNCTION("IMPORTRANGE(""https://docs.google.com/spreadsheets/d/1-uDff_7J0KD5mKrp0Vvzr7lt3OU09vwQwhkpOPPYv2Y/edit?usp=sharing"",""งบพรบ!FI72"")"),0)</f>
        <v>0</v>
      </c>
      <c r="N364" s="427">
        <f ca="1">IFERROR(__xludf.DUMMYFUNCTION("IMPORTRANGE(""https://docs.google.com/spreadsheets/d/1-uDff_7J0KD5mKrp0Vvzr7lt3OU09vwQwhkpOPPYv2Y/edit?usp=sharing"",""งบพรบ!FK72"")"),0)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77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IFERROR(__xludf.DUMMYFUNCTION("IMPORTRANGE(""https://docs.google.com/spreadsheets/d/1tdoBKaGub7dwA3U6UFTqxio9LNnvDCQjHKmttSEBsFQ/edit?usp=sharing"",""จัดที่ดิน!AB72"")"),71)</f>
        <v>71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IFERROR(__xludf.DUMMYFUNCTION("IMPORTRANGE(""https://docs.google.com/spreadsheets/d/1eHaY18a8A9IcSdp1K8H6x8fbOy06t2VsZHhMHf-1x7Y/edit?usp=sharing"",""แผน!EW72"")"),670)</f>
        <v>670</v>
      </c>
      <c r="J368" s="704">
        <f ca="1">IFERROR(__xludf.DUMMYFUNCTION("IMPORTRANGE(""https://docs.google.com/spreadsheets/d/1tdoBKaGub7dwA3U6UFTqxio9LNnvDCQjHKmttSEBsFQ/edit?usp=sharing"",""จัดที่ดิน!AC72"")"),438.24)</f>
        <v>438.24</v>
      </c>
      <c r="K368" s="427">
        <f t="shared" ca="1" si="51"/>
        <v>65.408955223880596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IFERROR(__xludf.DUMMYFUNCTION("IMPORTRANGE(""https://docs.google.com/spreadsheets/d/1eHaY18a8A9IcSdp1K8H6x8fbOy06t2VsZHhMHf-1x7Y/edit?usp=sharing"",""แผน!EX72"")"),116)</f>
        <v>116</v>
      </c>
      <c r="J369" s="426">
        <f ca="1">IFERROR(__xludf.DUMMYFUNCTION("IMPORTRANGE(""https://docs.google.com/spreadsheets/d/1tdoBKaGub7dwA3U6UFTqxio9LNnvDCQjHKmttSEBsFQ/edit?usp=sharing"",""จัดที่ดิน!AD72"")"),2)</f>
        <v>2</v>
      </c>
      <c r="K369" s="427">
        <f t="shared" ca="1" si="51"/>
        <v>1.7241379310344827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IFERROR(__xludf.DUMMYFUNCTION("IMPORTRANGE(""https://docs.google.com/spreadsheets/d/1tdoBKaGub7dwA3U6UFTqxio9LNnvDCQjHKmttSEBsFQ/edit?usp=sharing"",""จัดที่ดิน!AE72"")"),6.93)</f>
        <v>6.93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IFERROR(__xludf.DUMMYFUNCTION("IMPORTRANGE(""https://docs.google.com/spreadsheets/d/1eHaY18a8A9IcSdp1K8H6x8fbOy06t2VsZHhMHf-1x7Y/edit?usp=sharing"",""แผน!EY72"")"),77)</f>
        <v>77</v>
      </c>
      <c r="J371" s="426">
        <f ca="1">IFERROR(__xludf.DUMMYFUNCTION("IMPORTRANGE(""https://docs.google.com/spreadsheets/d/1tdoBKaGub7dwA3U6UFTqxio9LNnvDCQjHKmttSEBsFQ/edit?usp=sharing"",""จัดที่ดิน!AF72"")"),0)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IFERROR(__xludf.DUMMYFUNCTION("IMPORTRANGE(""https://docs.google.com/spreadsheets/d/1tdoBKaGub7dwA3U6UFTqxio9LNnvDCQjHKmttSEBsFQ/edit?usp=sharing"",""จัดที่ดิน!AG72"")"),0)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IFERROR(__xludf.DUMMYFUNCTION("IMPORTRANGE(""https://docs.google.com/spreadsheets/d/1-uDff_7J0KD5mKrp0Vvzr7lt3OU09vwQwhkpOPPYv2Y/edit?usp=sharing"",""งบพรบ!FM72"")"),0)</f>
        <v>0</v>
      </c>
      <c r="M382" s="502">
        <f ca="1">IFERROR(__xludf.DUMMYFUNCTION("IMPORTRANGE(""https://docs.google.com/spreadsheets/d/1-uDff_7J0KD5mKrp0Vvzr7lt3OU09vwQwhkpOPPYv2Y/edit?usp=sharing"",""งบพรบ!FR72"")"),0)</f>
        <v>0</v>
      </c>
      <c r="N382" s="502">
        <f ca="1">IFERROR(__xludf.DUMMYFUNCTION("IMPORTRANGE(""https://docs.google.com/spreadsheets/d/1-uDff_7J0KD5mKrp0Vvzr7lt3OU09vwQwhkpOPPYv2Y/edit?usp=sharing"",""งบพรบ!FT72"")"),0)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IFERROR(__xludf.DUMMYFUNCTION("IMPORTRANGE(""https://docs.google.com/spreadsheets/d/1-uDff_7J0KD5mKrp0Vvzr7lt3OU09vwQwhkpOPPYv2Y/edit?usp=sharing"",""งบพรบ!FP72"")"),0)</f>
        <v>0</v>
      </c>
      <c r="M385" s="502">
        <f ca="1">IFERROR(__xludf.DUMMYFUNCTION("IMPORTRANGE(""https://docs.google.com/spreadsheets/d/1-uDff_7J0KD5mKrp0Vvzr7lt3OU09vwQwhkpOPPYv2Y/edit?usp=sharing"",""งบพรบ!FS72"")"),0)</f>
        <v>0</v>
      </c>
      <c r="N385" s="502">
        <f ca="1">IFERROR(__xludf.DUMMYFUNCTION("IMPORTRANGE(""https://docs.google.com/spreadsheets/d/1-uDff_7J0KD5mKrp0Vvzr7lt3OU09vwQwhkpOPPYv2Y/edit?usp=sharing"",""งบพรบ!FU72"")"),0)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017B-2B28-4734-9781-637AD6FE0FD8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274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1084345</v>
      </c>
      <c r="M18" s="843">
        <f ca="1">M19+M20</f>
        <v>838545</v>
      </c>
      <c r="N18" s="843">
        <f ca="1">N19+N20</f>
        <v>495271.13</v>
      </c>
      <c r="O18" s="843">
        <f t="shared" ref="O18:O26" ca="1" si="0">IF(L18&gt;0,N18*100/L18,0)</f>
        <v>45.674681950855124</v>
      </c>
      <c r="P18" s="843">
        <f t="shared" ref="P18:P26" ca="1" si="1">IF(M18&gt;0,N18*100/M18,0)</f>
        <v>59.063154630938115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1084345</v>
      </c>
      <c r="M20" s="947">
        <f t="shared" ca="1" si="2"/>
        <v>838545</v>
      </c>
      <c r="N20" s="947">
        <f t="shared" ca="1" si="2"/>
        <v>495271.13</v>
      </c>
      <c r="O20" s="947">
        <f t="shared" ca="1" si="0"/>
        <v>45.674681950855124</v>
      </c>
      <c r="P20" s="947">
        <f t="shared" ca="1" si="1"/>
        <v>59.063154630938115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1084345</v>
      </c>
      <c r="M21" s="427">
        <f ca="1">M22+M23</f>
        <v>838545</v>
      </c>
      <c r="N21" s="427">
        <f ca="1">N22+N23</f>
        <v>495271.13</v>
      </c>
      <c r="O21" s="427">
        <f t="shared" ca="1" si="0"/>
        <v>45.674681950855124</v>
      </c>
      <c r="P21" s="427">
        <f t="shared" ca="1" si="1"/>
        <v>59.063154630938115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1084345</v>
      </c>
      <c r="M23" s="427">
        <f t="shared" ca="1" si="3"/>
        <v>838545</v>
      </c>
      <c r="N23" s="427">
        <f t="shared" ca="1" si="3"/>
        <v>495271.13</v>
      </c>
      <c r="O23" s="427">
        <f t="shared" ca="1" si="0"/>
        <v>45.674681950855124</v>
      </c>
      <c r="P23" s="427">
        <f t="shared" ca="1" si="1"/>
        <v>59.063154630938115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0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1084345</v>
      </c>
      <c r="M40" s="940">
        <f ca="1">M44+M59+M72+M94+M125+M139+M157+M173+M186+M266+M282+M303+M320+M333+M356</f>
        <v>838545</v>
      </c>
      <c r="N40" s="940">
        <f ca="1">N44+N59+N72+N94+N125+N139+N157+N173+N186+N266+N282+N303+N320+N333+N356</f>
        <v>495271.13</v>
      </c>
      <c r="O40" s="940">
        <f ca="1">IF(L40&gt;0,N40*100/L40,0)</f>
        <v>45.674681950855124</v>
      </c>
      <c r="P40" s="940">
        <f ca="1">IF(M40&gt;0,N40*100/M40,0)</f>
        <v>59.063154630938115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84500</v>
      </c>
      <c r="M44" s="925">
        <f ca="1">M45+M46</f>
        <v>89000</v>
      </c>
      <c r="N44" s="925">
        <f ca="1">N45+N46</f>
        <v>50000</v>
      </c>
      <c r="O44" s="925">
        <f t="shared" ref="O44:O52" ca="1" si="5">IF(L44&gt;0,N44*100/L44,0)</f>
        <v>59.171597633136095</v>
      </c>
      <c r="P44" s="925">
        <f t="shared" ref="P44:P52" ca="1" si="6">IF(M44&gt;0,N44*100/M44,0)</f>
        <v>56.179775280898873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84500</v>
      </c>
      <c r="M46" s="917">
        <f t="shared" ca="1" si="7"/>
        <v>89000</v>
      </c>
      <c r="N46" s="917">
        <f t="shared" ca="1" si="7"/>
        <v>50000</v>
      </c>
      <c r="O46" s="917">
        <f t="shared" ca="1" si="5"/>
        <v>59.171597633136095</v>
      </c>
      <c r="P46" s="917">
        <f t="shared" ca="1" si="6"/>
        <v>56.179775280898873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84500</v>
      </c>
      <c r="M47" s="427">
        <f ca="1">M48+M49</f>
        <v>89000</v>
      </c>
      <c r="N47" s="427">
        <f ca="1">N48+N49</f>
        <v>50000</v>
      </c>
      <c r="O47" s="427">
        <f t="shared" ca="1" si="5"/>
        <v>59.171597633136095</v>
      </c>
      <c r="P47" s="427">
        <f t="shared" ca="1" si="6"/>
        <v>56.179775280898873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IFERROR(__xludf.DUMMYFUNCTION("IMPORTRANGE(""https://docs.google.com/spreadsheets/d/1-uDff_7J0KD5mKrp0Vvzr7lt3OU09vwQwhkpOPPYv2Y/edit?usp=sharing"",""งบพรบ!P73"")"),84500)</f>
        <v>84500</v>
      </c>
      <c r="M49" s="427">
        <f ca="1">IFERROR(__xludf.DUMMYFUNCTION("IMPORTRANGE(""https://docs.google.com/spreadsheets/d/1-uDff_7J0KD5mKrp0Vvzr7lt3OU09vwQwhkpOPPYv2Y/edit?usp=sharing"",""งบพรบ!V73"")"),89000)</f>
        <v>89000</v>
      </c>
      <c r="N49" s="427">
        <f ca="1">IFERROR(__xludf.DUMMYFUNCTION("IMPORTRANGE(""https://docs.google.com/spreadsheets/d/1-uDff_7J0KD5mKrp0Vvzr7lt3OU09vwQwhkpOPPYv2Y/edit?usp=sharing"",""งบพรบ!Y73"")"),50000)</f>
        <v>50000</v>
      </c>
      <c r="O49" s="427">
        <f t="shared" ca="1" si="5"/>
        <v>59.171597633136095</v>
      </c>
      <c r="P49" s="427">
        <f t="shared" ca="1" si="6"/>
        <v>56.179775280898873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IFERROR(__xludf.DUMMYFUNCTION("IMPORTRANGE(""https://docs.google.com/spreadsheets/d/1-uDff_7J0KD5mKrp0Vvzr7lt3OU09vwQwhkpOPPYv2Y/edit?usp=sharing"",""งบพรบ!S73"")"),0)</f>
        <v>0</v>
      </c>
      <c r="M52" s="427">
        <f ca="1">IFERROR(__xludf.DUMMYFUNCTION("IMPORTRANGE(""https://docs.google.com/spreadsheets/d/1-uDff_7J0KD5mKrp0Vvzr7lt3OU09vwQwhkpOPPYv2Y/edit?usp=sharing"",""งบพรบ!W73"")"),0)</f>
        <v>0</v>
      </c>
      <c r="N52" s="427">
        <f ca="1">IFERROR(__xludf.DUMMYFUNCTION("IMPORTRANGE(""https://docs.google.com/spreadsheets/d/1-uDff_7J0KD5mKrp0Vvzr7lt3OU09vwQwhkpOPPYv2Y/edit?usp=sharing"",""งบพรบ!Z73"")"),0)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567400</v>
      </c>
      <c r="M59" s="899">
        <f ca="1">M60+M61</f>
        <v>427450</v>
      </c>
      <c r="N59" s="899">
        <f ca="1">N60+N61</f>
        <v>336763.13</v>
      </c>
      <c r="O59" s="899">
        <f t="shared" ref="O59:O67" ca="1" si="8">IF(L59&gt;0,N59*100/L59,0)</f>
        <v>59.351979203383856</v>
      </c>
      <c r="P59" s="899">
        <f t="shared" ref="P59:P67" ca="1" si="9">IF(M59&gt;0,N59*100/M59,0)</f>
        <v>78.784215697742425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567400</v>
      </c>
      <c r="M61" s="891">
        <f t="shared" ca="1" si="10"/>
        <v>427450</v>
      </c>
      <c r="N61" s="891">
        <f t="shared" ca="1" si="10"/>
        <v>336763.13</v>
      </c>
      <c r="O61" s="891">
        <f t="shared" ca="1" si="8"/>
        <v>59.351979203383856</v>
      </c>
      <c r="P61" s="891">
        <f t="shared" ca="1" si="9"/>
        <v>78.784215697742425</v>
      </c>
    </row>
    <row r="62" spans="1:16" ht="18.75" x14ac:dyDescent="0.25">
      <c r="A62" s="632"/>
      <c r="B62" s="420"/>
      <c r="C62" s="420"/>
      <c r="D62" s="713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567400</v>
      </c>
      <c r="M62" s="427">
        <f ca="1">M63+M64</f>
        <v>427450</v>
      </c>
      <c r="N62" s="427">
        <f ca="1">N63+N64</f>
        <v>336763.13</v>
      </c>
      <c r="O62" s="427">
        <f t="shared" ca="1" si="8"/>
        <v>59.351979203383856</v>
      </c>
      <c r="P62" s="427">
        <f t="shared" ca="1" si="9"/>
        <v>78.784215697742425</v>
      </c>
    </row>
    <row r="63" spans="1:16" ht="18.75" hidden="1" x14ac:dyDescent="0.25">
      <c r="A63" s="632"/>
      <c r="B63" s="420"/>
      <c r="C63" s="420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32"/>
      <c r="B64" s="420"/>
      <c r="C64" s="420"/>
      <c r="D64" s="420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IFERROR(__xludf.DUMMYFUNCTION("IMPORTRANGE(""https://docs.google.com/spreadsheets/d/1-uDff_7J0KD5mKrp0Vvzr7lt3OU09vwQwhkpOPPYv2Y/edit?usp=sharing"",""งบพรบ!AC73"")"),567400)</f>
        <v>567400</v>
      </c>
      <c r="M64" s="427">
        <f ca="1">IFERROR(__xludf.DUMMYFUNCTION("IMPORTRANGE(""https://docs.google.com/spreadsheets/d/1-uDff_7J0KD5mKrp0Vvzr7lt3OU09vwQwhkpOPPYv2Y/edit?usp=sharing"",""งบพรบ!AH73"")"),427450)</f>
        <v>427450</v>
      </c>
      <c r="N64" s="427">
        <f ca="1">IFERROR(__xludf.DUMMYFUNCTION("IMPORTRANGE(""https://docs.google.com/spreadsheets/d/1-uDff_7J0KD5mKrp0Vvzr7lt3OU09vwQwhkpOPPYv2Y/edit?usp=sharing"",""งบพรบ!AJ73"")"),336763.13)</f>
        <v>336763.13</v>
      </c>
      <c r="O64" s="427">
        <f t="shared" ca="1" si="8"/>
        <v>59.351979203383856</v>
      </c>
      <c r="P64" s="427">
        <f t="shared" ca="1" si="9"/>
        <v>78.784215697742425</v>
      </c>
    </row>
    <row r="65" spans="1:16" ht="18.75" x14ac:dyDescent="0.25">
      <c r="A65" s="632"/>
      <c r="B65" s="420"/>
      <c r="C65" s="420"/>
      <c r="D65" s="713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32"/>
      <c r="B66" s="420"/>
      <c r="C66" s="420"/>
      <c r="D66" s="420"/>
      <c r="E66" s="520" t="s">
        <v>18</v>
      </c>
      <c r="F66" s="420"/>
      <c r="G66" s="424"/>
      <c r="H66" s="559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631"/>
      <c r="B67" s="629"/>
      <c r="C67" s="629"/>
      <c r="D67" s="629"/>
      <c r="E67" s="630" t="s">
        <v>19</v>
      </c>
      <c r="F67" s="629"/>
      <c r="G67" s="628"/>
      <c r="H67" s="627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IFERROR(__xludf.DUMMYFUNCTION("IMPORTRANGE(""https://docs.google.com/spreadsheets/d/1-uDff_7J0KD5mKrp0Vvzr7lt3OU09vwQwhkpOPPYv2Y/edit?usp=sharing"",""งบพรบ!AF73"")"),0)</f>
        <v>0</v>
      </c>
      <c r="M67" s="624">
        <f ca="1">IFERROR(__xludf.DUMMYFUNCTION("IMPORTRANGE(""https://docs.google.com/spreadsheets/d/1-uDff_7J0KD5mKrp0Vvzr7lt3OU09vwQwhkpOPPYv2Y/edit?usp=sharing"",""งบพรบ!AI73"")"),0)</f>
        <v>0</v>
      </c>
      <c r="N67" s="624">
        <f ca="1">IFERROR(__xludf.DUMMYFUNCTION("IMPORTRANGE(""https://docs.google.com/spreadsheets/d/1-uDff_7J0KD5mKrp0Vvzr7lt3OU09vwQwhkpOPPYv2Y/edit?usp=sharing"",""งบพรบ!AK73"")"),0)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8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3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1084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1084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0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0"/>
      <c r="C76" s="420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0"/>
      <c r="C77" s="420"/>
      <c r="D77" s="420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IFERROR(__xludf.DUMMYFUNCTION("IMPORTRANGE(""https://docs.google.com/spreadsheets/d/1-uDff_7J0KD5mKrp0Vvzr7lt3OU09vwQwhkpOPPYv2Y/edit?usp=sharing"",""งบพรบ!AM73"")"),0)</f>
        <v>0</v>
      </c>
      <c r="M77" s="427">
        <f ca="1">IFERROR(__xludf.DUMMYFUNCTION("IMPORTRANGE(""https://docs.google.com/spreadsheets/d/1-uDff_7J0KD5mKrp0Vvzr7lt3OU09vwQwhkpOPPYv2Y/edit?usp=sharing"",""งบพรบ!AR73"")"),0)</f>
        <v>0</v>
      </c>
      <c r="N77" s="427">
        <f ca="1">IFERROR(__xludf.DUMMYFUNCTION("IMPORTRANGE(""https://docs.google.com/spreadsheets/d/1-uDff_7J0KD5mKrp0Vvzr7lt3OU09vwQwhkpOPPYv2Y/edit?usp=sharing"",""งบพรบ!AT73"")"),0)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0"/>
      <c r="C78" s="420"/>
      <c r="D78" s="713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0"/>
      <c r="C79" s="420"/>
      <c r="D79" s="420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0"/>
      <c r="C80" s="420"/>
      <c r="D80" s="420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IFERROR(__xludf.DUMMYFUNCTION("IMPORTRANGE(""https://docs.google.com/spreadsheets/d/1-uDff_7J0KD5mKrp0Vvzr7lt3OU09vwQwhkpOPPYv2Y/edit?usp=sharing"",""งบพรบ!AP73"")"),0)</f>
        <v>0</v>
      </c>
      <c r="M80" s="427">
        <f ca="1">IFERROR(__xludf.DUMMYFUNCTION("IMPORTRANGE(""https://docs.google.com/spreadsheets/d/1-uDff_7J0KD5mKrp0Vvzr7lt3OU09vwQwhkpOPPYv2Y/edit?usp=sharing"",""งบพรบ!AS73"")"),0)</f>
        <v>0</v>
      </c>
      <c r="N80" s="427">
        <f ca="1">IFERROR(__xludf.DUMMYFUNCTION("IMPORTRANGE(""https://docs.google.com/spreadsheets/d/1-uDff_7J0KD5mKrp0Vvzr7lt3OU09vwQwhkpOPPYv2Y/edit?usp=sharing"",""งบพรบ!AU73"")"),0)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8" t="s">
        <v>16</v>
      </c>
      <c r="D81" s="737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6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IFERROR(__xludf.DUMMYFUNCTION("IMPORTRANGE(""https://docs.google.com/spreadsheets/d/1eHaY18a8A9IcSdp1K8H6x8fbOy06t2VsZHhMHf-1x7Y/edit?usp=sharing"",""แผน!H73"")"),0)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IFERROR(__xludf.DUMMYFUNCTION("IMPORTRANGE(""https://docs.google.com/spreadsheets/d/1eHaY18a8A9IcSdp1K8H6x8fbOy06t2VsZHhMHf-1x7Y/edit?usp=sharing"",""แผน!I73"")"),0)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IFERROR(__xludf.DUMMYFUNCTION("IMPORTRANGE(""https://docs.google.com/spreadsheets/d/1eHaY18a8A9IcSdp1K8H6x8fbOy06t2VsZHhMHf-1x7Y/edit?usp=sharing"",""แผน!F73"")"),0)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IFERROR(__xludf.DUMMYFUNCTION("IMPORTRANGE(""https://docs.google.com/spreadsheets/d/1eHaY18a8A9IcSdp1K8H6x8fbOy06t2VsZHhMHf-1x7Y/edit?usp=sharing"",""แผน!G73"")"),0)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69" t="s">
        <v>32</v>
      </c>
      <c r="I88" s="768">
        <f ca="1">IFERROR(__xludf.DUMMYFUNCTION("IMPORTRANGE(""https://docs.google.com/spreadsheets/d/1eHaY18a8A9IcSdp1K8H6x8fbOy06t2VsZHhMHf-1x7Y/edit?usp=sharing"",""แผน!D73"")"),0)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69" t="s">
        <v>33</v>
      </c>
      <c r="I89" s="768">
        <f ca="1">IFERROR(__xludf.DUMMYFUNCTION("IMPORTRANGE(""https://docs.google.com/spreadsheets/d/1eHaY18a8A9IcSdp1K8H6x8fbOy06t2VsZHhMHf-1x7Y/edit?usp=sharing"",""แผน!E73"")"),0)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07" t="s">
        <v>32</v>
      </c>
      <c r="I90" s="768">
        <f ca="1">IFERROR(__xludf.DUMMYFUNCTION("IMPORTRANGE(""https://docs.google.com/spreadsheets/d/1eHaY18a8A9IcSdp1K8H6x8fbOy06t2VsZHhMHf-1x7Y/edit?usp=sharing"",""แผน!J73"")"),0)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3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1084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1084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0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0"/>
      <c r="C98" s="420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0"/>
      <c r="C99" s="420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IFERROR(__xludf.DUMMYFUNCTION("IMPORTRANGE(""https://docs.google.com/spreadsheets/d/1-uDff_7J0KD5mKrp0Vvzr7lt3OU09vwQwhkpOPPYv2Y/edit?usp=sharing"",""งบพรบ!AW73"")"),0)</f>
        <v>0</v>
      </c>
      <c r="M99" s="427">
        <f ca="1">IFERROR(__xludf.DUMMYFUNCTION("IMPORTRANGE(""https://docs.google.com/spreadsheets/d/1-uDff_7J0KD5mKrp0Vvzr7lt3OU09vwQwhkpOPPYv2Y/edit?usp=sharing"",""งบพรบ!BB73"")"),0)</f>
        <v>0</v>
      </c>
      <c r="N99" s="427">
        <f ca="1">IFERROR(__xludf.DUMMYFUNCTION("IMPORTRANGE(""https://docs.google.com/spreadsheets/d/1-uDff_7J0KD5mKrp0Vvzr7lt3OU09vwQwhkpOPPYv2Y/edit?usp=sharing"",""งบพรบ!BD73"")"),0)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0"/>
      <c r="C100" s="420"/>
      <c r="D100" s="713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0"/>
      <c r="C101" s="420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0"/>
      <c r="C102" s="420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IFERROR(__xludf.DUMMYFUNCTION("IMPORTRANGE(""https://docs.google.com/spreadsheets/d/1-uDff_7J0KD5mKrp0Vvzr7lt3OU09vwQwhkpOPPYv2Y/edit?usp=sharing"",""งบพรบ!AZ73"")"),0)</f>
        <v>0</v>
      </c>
      <c r="M102" s="427">
        <f ca="1">IFERROR(__xludf.DUMMYFUNCTION("IMPORTRANGE(""https://docs.google.com/spreadsheets/d/1-uDff_7J0KD5mKrp0Vvzr7lt3OU09vwQwhkpOPPYv2Y/edit?usp=sharing"",""งบพรบ!BC73"")"),0)</f>
        <v>0</v>
      </c>
      <c r="N102" s="427">
        <f ca="1">IFERROR(__xludf.DUMMYFUNCTION("IMPORTRANGE(""https://docs.google.com/spreadsheets/d/1-uDff_7J0KD5mKrp0Vvzr7lt3OU09vwQwhkpOPPYv2Y/edit?usp=sharing"",""งบพรบ!BE73"")"),0)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8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IFERROR(__xludf.DUMMYFUNCTION("IMPORTRANGE(""https://docs.google.com/spreadsheets/d/1eHaY18a8A9IcSdp1K8H6x8fbOy06t2VsZHhMHf-1x7Y/edit?usp=sharing"",""แผน!N73"")"),0)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IFERROR(__xludf.DUMMYFUNCTION("IMPORTRANGE(""https://docs.google.com/spreadsheets/d/1eHaY18a8A9IcSdp1K8H6x8fbOy06t2VsZHhMHf-1x7Y/edit?usp=sharing"",""แผน!O73"")"),0)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4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4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4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4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4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IFERROR(__xludf.DUMMYFUNCTION("IMPORTRANGE(""https://docs.google.com/spreadsheets/d/1eHaY18a8A9IcSdp1K8H6x8fbOy06t2VsZHhMHf-1x7Y/edit?usp=sharing"",""แผน!R73"")"),0)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3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3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3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3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4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3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764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764"/>
      <c r="D129" s="764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764"/>
      <c r="D130" s="764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IFERROR(__xludf.DUMMYFUNCTION("IMPORTRANGE(""https://docs.google.com/spreadsheets/d/1-uDff_7J0KD5mKrp0Vvzr7lt3OU09vwQwhkpOPPYv2Y/edit?usp=sharing"",""งบพรบ!BG73"")"),0)</f>
        <v>0</v>
      </c>
      <c r="M130" s="864">
        <f ca="1">IFERROR(__xludf.DUMMYFUNCTION("IMPORTRANGE(""https://docs.google.com/spreadsheets/d/1-uDff_7J0KD5mKrp0Vvzr7lt3OU09vwQwhkpOPPYv2Y/edit?usp=sharing"",""งบพรบ!BL73"")"),0)</f>
        <v>0</v>
      </c>
      <c r="N130" s="864">
        <f ca="1">IFERROR(__xludf.DUMMYFUNCTION("IMPORTRANGE(""https://docs.google.com/spreadsheets/d/1-uDff_7J0KD5mKrp0Vvzr7lt3OU09vwQwhkpOPPYv2Y/edit?usp=sharing"",""งบพรบ!BN73"")"),0)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764"/>
      <c r="D131" s="871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764"/>
      <c r="D132" s="764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IFERROR(__xludf.DUMMYFUNCTION("IMPORTRANGE(""https://docs.google.com/spreadsheets/d/1-uDff_7J0KD5mKrp0Vvzr7lt3OU09vwQwhkpOPPYv2Y/edit?usp=sharing"",""งบพรบ!BJ73"")"),0)</f>
        <v>0</v>
      </c>
      <c r="M133" s="864">
        <f ca="1">IFERROR(__xludf.DUMMYFUNCTION("IMPORTRANGE(""https://docs.google.com/spreadsheets/d/1-uDff_7J0KD5mKrp0Vvzr7lt3OU09vwQwhkpOPPYv2Y/edit?usp=sharing"",""งบพรบ!BM73"")"),0)</f>
        <v>0</v>
      </c>
      <c r="N133" s="864">
        <f ca="1">IFERROR(__xludf.DUMMYFUNCTION("IMPORTRANGE(""https://docs.google.com/spreadsheets/d/1-uDff_7J0KD5mKrp0Vvzr7lt3OU09vwQwhkpOPPYv2Y/edit?usp=sharing"",""งบพรบ!BO73"")"),0)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4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47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1084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1084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1084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0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IFERROR(__xludf.DUMMYFUNCTION("IMPORTRANGE(""https://docs.google.com/spreadsheets/d/1-uDff_7J0KD5mKrp0Vvzr7lt3OU09vwQwhkpOPPYv2Y/edit?usp=sharing"",""งบพรบ!BQ73"")"),0)</f>
        <v>0</v>
      </c>
      <c r="M144" s="427">
        <f ca="1">IFERROR(__xludf.DUMMYFUNCTION("IMPORTRANGE(""https://docs.google.com/spreadsheets/d/1-uDff_7J0KD5mKrp0Vvzr7lt3OU09vwQwhkpOPPYv2Y/edit?usp=sharing"",""งบพรบ!BV73"")"),0)</f>
        <v>0</v>
      </c>
      <c r="N144" s="427">
        <f ca="1">IFERROR(__xludf.DUMMYFUNCTION("IMPORTRANGE(""https://docs.google.com/spreadsheets/d/1-uDff_7J0KD5mKrp0Vvzr7lt3OU09vwQwhkpOPPYv2Y/edit?usp=sharing"",""งบพรบ!BX73"")"),0)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IFERROR(__xludf.DUMMYFUNCTION("IMPORTRANGE(""https://docs.google.com/spreadsheets/d/1-uDff_7J0KD5mKrp0Vvzr7lt3OU09vwQwhkpOPPYv2Y/edit?usp=sharing"",""งบพรบ!BT73"")"),0)</f>
        <v>0</v>
      </c>
      <c r="M147" s="427">
        <f ca="1">IFERROR(__xludf.DUMMYFUNCTION("IMPORTRANGE(""https://docs.google.com/spreadsheets/d/1-uDff_7J0KD5mKrp0Vvzr7lt3OU09vwQwhkpOPPYv2Y/edit?usp=sharing"",""งบพรบ!BW73"")"),0)</f>
        <v>0</v>
      </c>
      <c r="N147" s="427">
        <f ca="1">IFERROR(__xludf.DUMMYFUNCTION("IMPORTRANGE(""https://docs.google.com/spreadsheets/d/1-uDff_7J0KD5mKrp0Vvzr7lt3OU09vwQwhkpOPPYv2Y/edit?usp=sharing"",""งบพรบ!BY73"")"),0)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420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IFERROR(__xludf.DUMMYFUNCTION("IMPORTRANGE(""https://docs.google.com/spreadsheets/d/1eHaY18a8A9IcSdp1K8H6x8fbOy06t2VsZHhMHf-1x7Y/edit?usp=sharing"",""แผน!U73"")"),0)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IFERROR(__xludf.DUMMYFUNCTION("IMPORTRANGE(""https://docs.google.com/spreadsheets/d/1eHaY18a8A9IcSdp1K8H6x8fbOy06t2VsZHhMHf-1x7Y/edit?usp=sharing"",""แผน!V73"")"),0)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IFERROR(__xludf.DUMMYFUNCTION("IMPORTRANGE(""https://docs.google.com/spreadsheets/d/1eHaY18a8A9IcSdp1K8H6x8fbOy06t2VsZHhMHf-1x7Y/edit?usp=sharing"",""แผน!W73"")"),0)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IFERROR(__xludf.DUMMYFUNCTION("IMPORTRANGE(""https://docs.google.com/spreadsheets/d/1eHaY18a8A9IcSdp1K8H6x8fbOy06t2VsZHhMHf-1x7Y/edit?usp=sharing"",""แผน!X73"")"),0)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IFERROR(__xludf.DUMMYFUNCTION("IMPORTRANGE(""https://docs.google.com/spreadsheets/d/1eHaY18a8A9IcSdp1K8H6x8fbOy06t2VsZHhMHf-1x7Y/edit?usp=sharing"",""แผน!Y73"")"),0)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4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0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IFERROR(__xludf.DUMMYFUNCTION("IMPORTRANGE(""https://docs.google.com/spreadsheets/d/1-uDff_7J0KD5mKrp0Vvzr7lt3OU09vwQwhkpOPPYv2Y/edit?usp=sharing"",""งบพรบ!CA73"")"),0)</f>
        <v>0</v>
      </c>
      <c r="M162" s="427">
        <f ca="1">IFERROR(__xludf.DUMMYFUNCTION("IMPORTRANGE(""https://docs.google.com/spreadsheets/d/1-uDff_7J0KD5mKrp0Vvzr7lt3OU09vwQwhkpOPPYv2Y/edit?usp=sharing"",""งบพรบ!CF73"")"),0)</f>
        <v>0</v>
      </c>
      <c r="N162" s="427">
        <f ca="1">IFERROR(__xludf.DUMMYFUNCTION("IMPORTRANGE(""https://docs.google.com/spreadsheets/d/1-uDff_7J0KD5mKrp0Vvzr7lt3OU09vwQwhkpOPPYv2Y/edit?usp=sharing"",""งบพรบ!CH73"")"),0)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0"/>
      <c r="C164" s="420"/>
      <c r="D164" s="420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0"/>
      <c r="C165" s="420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IFERROR(__xludf.DUMMYFUNCTION("IMPORTRANGE(""https://docs.google.com/spreadsheets/d/1-uDff_7J0KD5mKrp0Vvzr7lt3OU09vwQwhkpOPPYv2Y/edit?usp=sharing"",""งบพรบ!CD73"")"),0)</f>
        <v>0</v>
      </c>
      <c r="M165" s="427">
        <f ca="1">IFERROR(__xludf.DUMMYFUNCTION("IMPORTRANGE(""https://docs.google.com/spreadsheets/d/1-uDff_7J0KD5mKrp0Vvzr7lt3OU09vwQwhkpOPPYv2Y/edit?usp=sharing"",""งบพรบ!CG73"")"),0)</f>
        <v>0</v>
      </c>
      <c r="N165" s="427">
        <f ca="1">IFERROR(__xludf.DUMMYFUNCTION("IMPORTRANGE(""https://docs.google.com/spreadsheets/d/1-uDff_7J0KD5mKrp0Vvzr7lt3OU09vwQwhkpOPPYv2Y/edit?usp=sharing"",""งบพรบ!CI73"")"),0)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8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IFERROR(__xludf.DUMMYFUNCTION("IMPORTRANGE(""https://docs.google.com/spreadsheets/d/1eHaY18a8A9IcSdp1K8H6x8fbOy06t2VsZHhMHf-1x7Y/edit?usp=sharing"",""แผน!Z73"")"),0)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IFERROR(__xludf.DUMMYFUNCTION("IMPORTRANGE(""https://docs.google.com/spreadsheets/d/1eHaY18a8A9IcSdp1K8H6x8fbOy06t2VsZHhMHf-1x7Y/edit?usp=sharing"",""แผน!Z73"")"),0)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IFERROR(__xludf.DUMMYFUNCTION("IMPORTRANGE(""https://docs.google.com/spreadsheets/d/1eHaY18a8A9IcSdp1K8H6x8fbOy06t2VsZHhMHf-1x7Y/edit?usp=sharing"",""แผน!Z73"")"),0)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7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1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1083" t="s">
        <v>33</v>
      </c>
      <c r="I172" s="829">
        <f ca="1">I183+I184</f>
        <v>7</v>
      </c>
      <c r="J172" s="829">
        <f>J183+J184</f>
        <v>7</v>
      </c>
      <c r="K172" s="828">
        <f ca="1">IF(I172&gt;0,J172*100/I172,0)</f>
        <v>100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18410</v>
      </c>
      <c r="O173" s="715">
        <f t="shared" ref="O173:O181" ca="1" si="27">IF(L173&gt;0,N173*100/L173,0)</f>
        <v>93.976518631955074</v>
      </c>
      <c r="P173" s="715">
        <f t="shared" ref="P173:P181" ca="1" si="28">IF(M173&gt;0,N173*100/M173,0)</f>
        <v>93.976518631955074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18410</v>
      </c>
      <c r="O175" s="427">
        <f t="shared" ca="1" si="27"/>
        <v>93.976518631955074</v>
      </c>
      <c r="P175" s="427">
        <f t="shared" ca="1" si="28"/>
        <v>93.976518631955074</v>
      </c>
    </row>
    <row r="176" spans="1:16" ht="18.75" x14ac:dyDescent="0.25">
      <c r="A176" s="684"/>
      <c r="B176" s="420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18410</v>
      </c>
      <c r="O176" s="427">
        <f t="shared" ca="1" si="27"/>
        <v>93.976518631955074</v>
      </c>
      <c r="P176" s="427">
        <f t="shared" ca="1" si="28"/>
        <v>93.976518631955074</v>
      </c>
    </row>
    <row r="177" spans="1:16" ht="18.75" hidden="1" x14ac:dyDescent="0.25">
      <c r="A177" s="684"/>
      <c r="B177" s="420"/>
      <c r="C177" s="420"/>
      <c r="D177" s="420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0"/>
      <c r="C178" s="420"/>
      <c r="D178" s="420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IFERROR(__xludf.DUMMYFUNCTION("IMPORTRANGE(""https://docs.google.com/spreadsheets/d/1-uDff_7J0KD5mKrp0Vvzr7lt3OU09vwQwhkpOPPYv2Y/edit?usp=sharing"",""งบพรบ!CK73"")"),19590)</f>
        <v>19590</v>
      </c>
      <c r="M178" s="427">
        <f ca="1">IFERROR(__xludf.DUMMYFUNCTION("IMPORTRANGE(""https://docs.google.com/spreadsheets/d/1-uDff_7J0KD5mKrp0Vvzr7lt3OU09vwQwhkpOPPYv2Y/edit?usp=sharing"",""งบพรบ!CP73"")"),19590)</f>
        <v>19590</v>
      </c>
      <c r="N178" s="427">
        <f ca="1">IFERROR(__xludf.DUMMYFUNCTION("IMPORTRANGE(""https://docs.google.com/spreadsheets/d/1-uDff_7J0KD5mKrp0Vvzr7lt3OU09vwQwhkpOPPYv2Y/edit?usp=sharing"",""งบพรบ!CR73"")"),18410)</f>
        <v>18410</v>
      </c>
      <c r="O178" s="427">
        <f t="shared" ca="1" si="27"/>
        <v>93.976518631955074</v>
      </c>
      <c r="P178" s="427">
        <f t="shared" ca="1" si="28"/>
        <v>93.976518631955074</v>
      </c>
    </row>
    <row r="179" spans="1:16" ht="18.75" x14ac:dyDescent="0.25">
      <c r="A179" s="684"/>
      <c r="B179" s="420"/>
      <c r="C179" s="420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IFERROR(__xludf.DUMMYFUNCTION("IMPORTRANGE(""https://docs.google.com/spreadsheets/d/1-uDff_7J0KD5mKrp0Vvzr7lt3OU09vwQwhkpOPPYv2Y/edit?usp=sharing"",""งบพรบ!CN73"")"),0)</f>
        <v>0</v>
      </c>
      <c r="M181" s="427">
        <f ca="1">IFERROR(__xludf.DUMMYFUNCTION("IMPORTRANGE(""https://docs.google.com/spreadsheets/d/1-uDff_7J0KD5mKrp0Vvzr7lt3OU09vwQwhkpOPPYv2Y/edit?usp=sharing"",""งบพรบ!CQ73"")"),0)</f>
        <v>0</v>
      </c>
      <c r="N181" s="427">
        <f ca="1">IFERROR(__xludf.DUMMYFUNCTION("IMPORTRANGE(""https://docs.google.com/spreadsheets/d/1-uDff_7J0KD5mKrp0Vvzr7lt3OU09vwQwhkpOPPYv2Y/edit?usp=sharing"",""งบพรบ!CS73"")"),0)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IFERROR(__xludf.DUMMYFUNCTION("IMPORTRANGE(""https://docs.google.com/spreadsheets/d/1eHaY18a8A9IcSdp1K8H6x8fbOy06t2VsZHhMHf-1x7Y/edit?usp=sharing"",""แผน!AA73"")"),7)</f>
        <v>7</v>
      </c>
      <c r="J183" s="736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504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1083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84200</v>
      </c>
      <c r="M186" s="715">
        <f ca="1">M187+M188</f>
        <v>57500</v>
      </c>
      <c r="N186" s="715">
        <f ca="1">N187+N188</f>
        <v>18700</v>
      </c>
      <c r="O186" s="715">
        <f t="shared" ref="O186:O194" ca="1" si="30">IF(L186&gt;0,N186*100/L186,0)</f>
        <v>22.209026128266032</v>
      </c>
      <c r="P186" s="715">
        <f t="shared" ref="P186:P194" ca="1" si="31">IF(M186&gt;0,N186*100/M186,0)</f>
        <v>32.521739130434781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84200</v>
      </c>
      <c r="M188" s="427">
        <f t="shared" ca="1" si="32"/>
        <v>57500</v>
      </c>
      <c r="N188" s="427">
        <f t="shared" ca="1" si="32"/>
        <v>18700</v>
      </c>
      <c r="O188" s="427">
        <f t="shared" ca="1" si="30"/>
        <v>22.209026128266032</v>
      </c>
      <c r="P188" s="427">
        <f t="shared" ca="1" si="31"/>
        <v>32.521739130434781</v>
      </c>
    </row>
    <row r="189" spans="1:16" ht="18.75" x14ac:dyDescent="0.25">
      <c r="A189" s="684"/>
      <c r="B189" s="420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84200</v>
      </c>
      <c r="M189" s="427">
        <f ca="1">M190+M191</f>
        <v>57500</v>
      </c>
      <c r="N189" s="427">
        <f ca="1">N190+N191</f>
        <v>18700</v>
      </c>
      <c r="O189" s="427">
        <f t="shared" ca="1" si="30"/>
        <v>22.209026128266032</v>
      </c>
      <c r="P189" s="427">
        <f t="shared" ca="1" si="31"/>
        <v>32.521739130434781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0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IFERROR(__xludf.DUMMYFUNCTION("IMPORTRANGE(""https://docs.google.com/spreadsheets/d/1-uDff_7J0KD5mKrp0Vvzr7lt3OU09vwQwhkpOPPYv2Y/edit?usp=sharing"",""งบพรบ!CU73"")"),84200)</f>
        <v>84200</v>
      </c>
      <c r="M191" s="427">
        <f ca="1">IFERROR(__xludf.DUMMYFUNCTION("IMPORTRANGE(""https://docs.google.com/spreadsheets/d/1-uDff_7J0KD5mKrp0Vvzr7lt3OU09vwQwhkpOPPYv2Y/edit?usp=sharing"",""งบพรบ!CZ73"")"),57500)</f>
        <v>57500</v>
      </c>
      <c r="N191" s="427">
        <f ca="1">IFERROR(__xludf.DUMMYFUNCTION("IMPORTRANGE(""https://docs.google.com/spreadsheets/d/1-uDff_7J0KD5mKrp0Vvzr7lt3OU09vwQwhkpOPPYv2Y/edit?usp=sharing"",""งบพรบ!DB73"")"),18700)</f>
        <v>18700</v>
      </c>
      <c r="O191" s="427">
        <f t="shared" ca="1" si="30"/>
        <v>22.209026128266032</v>
      </c>
      <c r="P191" s="427">
        <f t="shared" ca="1" si="31"/>
        <v>32.521739130434781</v>
      </c>
    </row>
    <row r="192" spans="1:16" ht="18.75" x14ac:dyDescent="0.25">
      <c r="A192" s="684"/>
      <c r="B192" s="420"/>
      <c r="C192" s="420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0"/>
      <c r="C193" s="420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0"/>
      <c r="C194" s="420"/>
      <c r="D194" s="420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IFERROR(__xludf.DUMMYFUNCTION("IMPORTRANGE(""https://docs.google.com/spreadsheets/d/1-uDff_7J0KD5mKrp0Vvzr7lt3OU09vwQwhkpOPPYv2Y/edit?usp=sharing"",""งบพรบ!CX73"")"),0)</f>
        <v>0</v>
      </c>
      <c r="M194" s="427">
        <f ca="1">IFERROR(__xludf.DUMMYFUNCTION("IMPORTRANGE(""https://docs.google.com/spreadsheets/d/1-uDff_7J0KD5mKrp0Vvzr7lt3OU09vwQwhkpOPPYv2Y/edit?usp=sharing"",""งบพรบ!DA73"")"),0)</f>
        <v>0</v>
      </c>
      <c r="N194" s="427">
        <f ca="1">IFERROR(__xludf.DUMMYFUNCTION("IMPORTRANGE(""https://docs.google.com/spreadsheets/d/1-uDff_7J0KD5mKrp0Vvzr7lt3OU09vwQwhkpOPPYv2Y/edit?usp=sharing"",""งบพรบ!DC73"")"),0)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6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0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IFERROR(__xludf.DUMMYFUNCTION("IMPORTRANGE(""https://docs.google.com/spreadsheets/d/1eHaY18a8A9IcSdp1K8H6x8fbOy06t2VsZHhMHf-1x7Y/edit?usp=sharing"",""แผน!AB73"")"),6000)</f>
        <v>6000</v>
      </c>
      <c r="M196" s="430"/>
      <c r="N196" s="827"/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68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69" t="s">
        <v>73</v>
      </c>
      <c r="I198" s="426">
        <f ca="1">IFERROR(__xludf.DUMMYFUNCTION("IMPORTRANGE(""https://docs.google.com/spreadsheets/d/1eHaY18a8A9IcSdp1K8H6x8fbOy06t2VsZHhMHf-1x7Y/edit?usp=sharing"",""แผน!AE73"")"),4)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30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30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hidden="1" x14ac:dyDescent="0.3">
      <c r="A203" s="684"/>
      <c r="B203" s="420"/>
      <c r="C203" s="718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hidden="1" x14ac:dyDescent="0.25">
      <c r="A204" s="684"/>
      <c r="B204" s="421"/>
      <c r="C204" s="420"/>
      <c r="D204" s="295" t="s">
        <v>80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IFERROR(__xludf.DUMMYFUNCTION("IMPORTRANGE(""https://docs.google.com/spreadsheets/d/1eHaY18a8A9IcSdp1K8H6x8fbOy06t2VsZHhMHf-1x7Y/edit?usp=sharing"",""แผน!AG73"")"),0)</f>
        <v>0</v>
      </c>
      <c r="M204" s="430"/>
      <c r="N204" s="818">
        <v>0</v>
      </c>
      <c r="O204" s="678"/>
      <c r="P204" s="430"/>
    </row>
    <row r="205" spans="1:16" ht="18.75" hidden="1" x14ac:dyDescent="0.25">
      <c r="A205" s="419"/>
      <c r="B205" s="421"/>
      <c r="C205" s="420"/>
      <c r="D205" s="295" t="s">
        <v>82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IFERROR(__xludf.DUMMYFUNCTION("IMPORTRANGE(""https://docs.google.com/spreadsheets/d/1eHaY18a8A9IcSdp1K8H6x8fbOy06t2VsZHhMHf-1x7Y/edit?usp=sharing"",""แผน!AI73"")"),0)</f>
        <v>0</v>
      </c>
      <c r="M205" s="430"/>
      <c r="N205" s="818">
        <v>0</v>
      </c>
      <c r="O205" s="678"/>
      <c r="P205" s="430"/>
    </row>
    <row r="206" spans="1:16" ht="18.75" hidden="1" x14ac:dyDescent="0.25">
      <c r="A206" s="419"/>
      <c r="B206" s="421"/>
      <c r="C206" s="420"/>
      <c r="D206" s="295" t="s">
        <v>89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IFERROR(__xludf.DUMMYFUNCTION("IMPORTRANGE(""https://docs.google.com/spreadsheets/d/1eHaY18a8A9IcSdp1K8H6x8fbOy06t2VsZHhMHf-1x7Y/edit?usp=sharing"",""แผน!AJ73"")"),0)</f>
        <v>0</v>
      </c>
      <c r="M206" s="430"/>
      <c r="N206" s="818">
        <v>0</v>
      </c>
      <c r="O206" s="678"/>
      <c r="P206" s="430"/>
    </row>
    <row r="207" spans="1:16" ht="12.75" hidden="1" x14ac:dyDescent="0.2">
      <c r="A207" s="766"/>
      <c r="B207" s="765"/>
      <c r="C207" s="764"/>
      <c r="D207" s="764"/>
      <c r="E207" s="764"/>
      <c r="F207" s="764"/>
      <c r="G207" s="763"/>
      <c r="H207" s="763"/>
      <c r="I207" s="761"/>
      <c r="J207" s="761"/>
      <c r="K207" s="760"/>
      <c r="L207" s="760"/>
      <c r="M207" s="760"/>
      <c r="N207" s="760"/>
      <c r="O207" s="760"/>
      <c r="P207" s="760"/>
    </row>
    <row r="208" spans="1:16" ht="19.5" hidden="1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680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hidden="1" x14ac:dyDescent="0.25">
      <c r="A209" s="683"/>
      <c r="B209" s="432"/>
      <c r="C209" s="432"/>
      <c r="D209" s="706" t="s">
        <v>84</v>
      </c>
      <c r="E209" s="422"/>
      <c r="F209" s="422"/>
      <c r="G209" s="680"/>
      <c r="H209" s="822" t="s">
        <v>79</v>
      </c>
      <c r="I209" s="426">
        <f ca="1">IFERROR(__xludf.DUMMYFUNCTION("IMPORTRANGE(""https://docs.google.com/spreadsheets/d/1eHaY18a8A9IcSdp1K8H6x8fbOy06t2VsZHhMHf-1x7Y/edit?usp=sharing"",""แผน!AK73"")"),0)</f>
        <v>0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683"/>
      <c r="B210" s="432"/>
      <c r="C210" s="432"/>
      <c r="D210" s="423" t="s">
        <v>48</v>
      </c>
      <c r="E210" s="422"/>
      <c r="F210" s="422"/>
      <c r="G210" s="680"/>
      <c r="H210" s="680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hidden="1" x14ac:dyDescent="0.25">
      <c r="A211" s="683"/>
      <c r="B211" s="432"/>
      <c r="C211" s="432"/>
      <c r="D211" s="422"/>
      <c r="E211" s="423" t="s">
        <v>85</v>
      </c>
      <c r="F211" s="422"/>
      <c r="G211" s="680"/>
      <c r="H211" s="822" t="s">
        <v>79</v>
      </c>
      <c r="I211" s="426">
        <f ca="1">IFERROR(__xludf.DUMMYFUNCTION("IMPORTRANGE(""https://docs.google.com/spreadsheets/d/1eHaY18a8A9IcSdp1K8H6x8fbOy06t2VsZHhMHf-1x7Y/edit?usp=sharing"",""แผน!AK73"")"),0)</f>
        <v>0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IFERROR(__xludf.DUMMYFUNCTION("IMPORTRANGE(""https://docs.google.com/spreadsheets/d/1eHaY18a8A9IcSdp1K8H6x8fbOy06t2VsZHhMHf-1x7Y/edit?usp=sharing"",""แผน!AK73"")"),0)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6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0"/>
      <c r="C214" s="718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IFERROR(__xludf.DUMMYFUNCTION("IMPORTRANGE(""https://docs.google.com/spreadsheets/d/1eHaY18a8A9IcSdp1K8H6x8fbOy06t2VsZHhMHf-1x7Y/edit?usp=sharing"",""แผน!AM73"")"),0)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IFERROR(__xludf.DUMMYFUNCTION("IMPORTRANGE(""https://docs.google.com/spreadsheets/d/1eHaY18a8A9IcSdp1K8H6x8fbOy06t2VsZHhMHf-1x7Y/edit?usp=sharing"",""แผน!AN73"")"),0)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IFERROR(__xludf.DUMMYFUNCTION("IMPORTRANGE(""https://docs.google.com/spreadsheets/d/1eHaY18a8A9IcSdp1K8H6x8fbOy06t2VsZHhMHf-1x7Y/edit?usp=sharing"",""แผน!AO73"")"),0)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680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2" t="s">
        <v>79</v>
      </c>
      <c r="I219" s="426">
        <f ca="1">IFERROR(__xludf.DUMMYFUNCTION("IMPORTRANGE(""https://docs.google.com/spreadsheets/d/1eHaY18a8A9IcSdp1K8H6x8fbOy06t2VsZHhMHf-1x7Y/edit?usp=sharing"",""แผน!AP73"")"),0)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IFERROR(__xludf.DUMMYFUNCTION("IMPORTRANGE(""https://docs.google.com/spreadsheets/d/1eHaY18a8A9IcSdp1K8H6x8fbOy06t2VsZHhMHf-1x7Y/edit?usp=sharing"",""แผน!AP73"")"),0)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6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0"/>
      <c r="C222" s="718" t="s">
        <v>16</v>
      </c>
      <c r="D222" s="824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0"/>
      <c r="D223" s="29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IFERROR(__xludf.DUMMYFUNCTION("IMPORTRANGE(""https://docs.google.com/spreadsheets/d/1eHaY18a8A9IcSdp1K8H6x8fbOy06t2VsZHhMHf-1x7Y/edit?usp=sharing"",""แผน!AR73"")"),3000)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IFERROR(__xludf.DUMMYFUNCTION("IMPORTRANGE(""https://docs.google.com/spreadsheets/d/1eHaY18a8A9IcSdp1K8H6x8fbOy06t2VsZHhMHf-1x7Y/edit?usp=sharing"",""แผน!AS73"")"),1500)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IFERROR(__xludf.DUMMYFUNCTION("IMPORTRANGE(""https://docs.google.com/spreadsheets/d/1eHaY18a8A9IcSdp1K8H6x8fbOy06t2VsZHhMHf-1x7Y/edit?usp=sharing"",""แผน!AT73"")"),0)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680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680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69" t="s">
        <v>93</v>
      </c>
      <c r="I228" s="426">
        <f ca="1">IFERROR(__xludf.DUMMYFUNCTION("IMPORTRANGE(""https://docs.google.com/spreadsheets/d/1eHaY18a8A9IcSdp1K8H6x8fbOy06t2VsZHhMHf-1x7Y/edit?usp=sharing"",""แผน!AV73"")"),5000)</f>
        <v>5000</v>
      </c>
      <c r="J228" s="736">
        <v>5000</v>
      </c>
      <c r="K228" s="767">
        <f ca="1">IF(I228&gt;0,J228*100/I228,0)</f>
        <v>100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69" t="s">
        <v>93</v>
      </c>
      <c r="I229" s="426">
        <f ca="1">IFERROR(__xludf.DUMMYFUNCTION("IMPORTRANGE(""https://docs.google.com/spreadsheets/d/1eHaY18a8A9IcSdp1K8H6x8fbOy06t2VsZHhMHf-1x7Y/edit?usp=sharing"",""แผน!AV73"")"),5000)</f>
        <v>5000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69" t="s">
        <v>33</v>
      </c>
      <c r="I230" s="426">
        <f ca="1">IFERROR(__xludf.DUMMYFUNCTION("IMPORTRANGE(""https://docs.google.com/spreadsheets/d/1eHaY18a8A9IcSdp1K8H6x8fbOy06t2VsZHhMHf-1x7Y/edit?usp=sharing"",""แผน!AU73"")"),0)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6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0"/>
      <c r="C232" s="718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0"/>
      <c r="D233" s="295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680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69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680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69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69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597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0"/>
      <c r="C243" s="51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0"/>
      <c r="D244" s="520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IFERROR(__xludf.DUMMYFUNCTION("IMPORTRANGE(""https://docs.google.com/spreadsheets/d/1eHaY18a8A9IcSdp1K8H6x8fbOy06t2VsZHhMHf-1x7Y/edit?usp=sharing"",""แผน!AX73"")"),0)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20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IFERROR(__xludf.DUMMYFUNCTION("IMPORTRANGE(""https://docs.google.com/spreadsheets/d/1eHaY18a8A9IcSdp1K8H6x8fbOy06t2VsZHhMHf-1x7Y/edit?usp=sharing"",""แผน!AY73"")"),0)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20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IFERROR(__xludf.DUMMYFUNCTION("IMPORTRANGE(""https://docs.google.com/spreadsheets/d/1eHaY18a8A9IcSdp1K8H6x8fbOy06t2VsZHhMHf-1x7Y/edit?usp=sharing"",""แผน!AZ73"")"),0)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IFERROR(__xludf.DUMMYFUNCTION("IMPORTRANGE(""https://docs.google.com/spreadsheets/d/1eHaY18a8A9IcSdp1K8H6x8fbOy06t2VsZHhMHf-1x7Y/edit?usp=sharing"",""แผน!BA73"")"),0)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680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83" t="s">
        <v>33</v>
      </c>
      <c r="I249" s="201">
        <f ca="1">IFERROR(__xludf.DUMMYFUNCTION("IMPORTRANGE(""https://docs.google.com/spreadsheets/d/1eHaY18a8A9IcSdp1K8H6x8fbOy06t2VsZHhMHf-1x7Y/edit?usp=sharing"",""แผน!BG73"")"),0)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680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83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83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597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0"/>
      <c r="C254" s="51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0"/>
      <c r="D255" s="520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IFERROR(__xludf.DUMMYFUNCTION("IMPORTRANGE(""https://docs.google.com/spreadsheets/d/1eHaY18a8A9IcSdp1K8H6x8fbOy06t2VsZHhMHf-1x7Y/edit?usp=sharing"",""แผน!BB73"")"),0)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20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IFERROR(__xludf.DUMMYFUNCTION("IMPORTRANGE(""https://docs.google.com/spreadsheets/d/1eHaY18a8A9IcSdp1K8H6x8fbOy06t2VsZHhMHf-1x7Y/edit?usp=sharing"",""แผน!BC73"")"),0)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20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IFERROR(__xludf.DUMMYFUNCTION("IMPORTRANGE(""https://docs.google.com/spreadsheets/d/1eHaY18a8A9IcSdp1K8H6x8fbOy06t2VsZHhMHf-1x7Y/edit?usp=sharing"",""แผน!BD73"")"),0)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IFERROR(__xludf.DUMMYFUNCTION("IMPORTRANGE(""https://docs.google.com/spreadsheets/d/1eHaY18a8A9IcSdp1K8H6x8fbOy06t2VsZHhMHf-1x7Y/edit?usp=sharing"",""แผน!BE73"")"),0)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83" t="s">
        <v>33</v>
      </c>
      <c r="I260" s="201">
        <f ca="1">IFERROR(__xludf.DUMMYFUNCTION("IMPORTRANGE(""https://docs.google.com/spreadsheets/d/1eHaY18a8A9IcSdp1K8H6x8fbOy06t2VsZHhMHf-1x7Y/edit?usp=sharing"",""แผน!BH73"")"),0)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680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83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83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1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573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0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0"/>
      <c r="C270" s="420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0"/>
      <c r="C271" s="420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IFERROR(__xludf.DUMMYFUNCTION("IMPORTRANGE(""https://docs.google.com/spreadsheets/d/1-uDff_7J0KD5mKrp0Vvzr7lt3OU09vwQwhkpOPPYv2Y/edit?usp=sharing"",""งบพรบ!DE73"")"),0)</f>
        <v>0</v>
      </c>
      <c r="M271" s="502">
        <f ca="1">IFERROR(__xludf.DUMMYFUNCTION("IMPORTRANGE(""https://docs.google.com/spreadsheets/d/1-uDff_7J0KD5mKrp0Vvzr7lt3OU09vwQwhkpOPPYv2Y/edit?usp=sharing"",""งบพรบ!DJ73"")"),0)</f>
        <v>0</v>
      </c>
      <c r="N271" s="502">
        <f ca="1">IFERROR(__xludf.DUMMYFUNCTION("IMPORTRANGE(""https://docs.google.com/spreadsheets/d/1-uDff_7J0KD5mKrp0Vvzr7lt3OU09vwQwhkpOPPYv2Y/edit?usp=sharing"",""งบพรบ!DL73"")"),0)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0"/>
      <c r="C272" s="420"/>
      <c r="D272" s="52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0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0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IFERROR(__xludf.DUMMYFUNCTION("IMPORTRANGE(""https://docs.google.com/spreadsheets/d/1-uDff_7J0KD5mKrp0Vvzr7lt3OU09vwQwhkpOPPYv2Y/edit?usp=sharing"",""งบพรบ!DH73"")"),0)</f>
        <v>0</v>
      </c>
      <c r="M274" s="502">
        <f ca="1">IFERROR(__xludf.DUMMYFUNCTION("IMPORTRANGE(""https://docs.google.com/spreadsheets/d/1-uDff_7J0KD5mKrp0Vvzr7lt3OU09vwQwhkpOPPYv2Y/edit?usp=sharing"",""งบพรบ!DK73"")"),0)</f>
        <v>0</v>
      </c>
      <c r="N274" s="502">
        <f ca="1">IFERROR(__xludf.DUMMYFUNCTION("IMPORTRANGE(""https://docs.google.com/spreadsheets/d/1-uDff_7J0KD5mKrp0Vvzr7lt3OU09vwQwhkpOPPYv2Y/edit?usp=sharing"",""งบพรบ!DM73"")"),0)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516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3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1081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3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7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1080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1080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0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0"/>
      <c r="C286" s="420"/>
      <c r="D286" s="420"/>
      <c r="E286" s="520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0"/>
      <c r="C287" s="420"/>
      <c r="D287" s="420"/>
      <c r="E287" s="295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IFERROR(__xludf.DUMMYFUNCTION("IMPORTRANGE(""https://docs.google.com/spreadsheets/d/1-uDff_7J0KD5mKrp0Vvzr7lt3OU09vwQwhkpOPPYv2Y/edit?usp=sharing"",""งบพรบ!DO73"")"),0)</f>
        <v>0</v>
      </c>
      <c r="M287" s="427">
        <f ca="1">IFERROR(__xludf.DUMMYFUNCTION("IMPORTRANGE(""https://docs.google.com/spreadsheets/d/1-uDff_7J0KD5mKrp0Vvzr7lt3OU09vwQwhkpOPPYv2Y/edit?usp=sharing"",""งบพรบ!DT73"")"),0)</f>
        <v>0</v>
      </c>
      <c r="N287" s="427">
        <f ca="1">IFERROR(__xludf.DUMMYFUNCTION("IMPORTRANGE(""https://docs.google.com/spreadsheets/d/1-uDff_7J0KD5mKrp0Vvzr7lt3OU09vwQwhkpOPPYv2Y/edit?usp=sharing"",""งบพรบ!DV73"")"),0)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0"/>
      <c r="C288" s="420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0"/>
      <c r="C289" s="420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0"/>
      <c r="C290" s="420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IFERROR(__xludf.DUMMYFUNCTION("IMPORTRANGE(""https://docs.google.com/spreadsheets/d/1-uDff_7J0KD5mKrp0Vvzr7lt3OU09vwQwhkpOPPYv2Y/edit?usp=sharing"",""งบพรบ!DR73"")"),0)</f>
        <v>0</v>
      </c>
      <c r="M290" s="427">
        <f ca="1">IFERROR(__xludf.DUMMYFUNCTION("IMPORTRANGE(""https://docs.google.com/spreadsheets/d/1-uDff_7J0KD5mKrp0Vvzr7lt3OU09vwQwhkpOPPYv2Y/edit?usp=sharing"",""งบพรบ!DU73"")"),0)</f>
        <v>0</v>
      </c>
      <c r="N290" s="427">
        <f ca="1">IFERROR(__xludf.DUMMYFUNCTION("IMPORTRANGE(""https://docs.google.com/spreadsheets/d/1-uDff_7J0KD5mKrp0Vvzr7lt3OU09vwQwhkpOPPYv2Y/edit?usp=sharing"",""งบพรบ!DW73"")"),0)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8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IFERROR(__xludf.DUMMYFUNCTION("IMPORTRANGE(""https://docs.google.com/spreadsheets/d/1eHaY18a8A9IcSdp1K8H6x8fbOy06t2VsZHhMHf-1x7Y/edit?usp=sharing"",""แผน!EE73"")"),0)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IFERROR(__xludf.DUMMYFUNCTION("IMPORTRANGE(""https://docs.google.com/spreadsheets/d/1eHaY18a8A9IcSdp1K8H6x8fbOy06t2VsZHhMHf-1x7Y/edit?usp=sharing"",""แผน!ED73"")"),0)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2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IFERROR(__xludf.DUMMYFUNCTION("IMPORTRANGE(""https://docs.google.com/spreadsheets/d/1eHaY18a8A9IcSdp1K8H6x8fbOy06t2VsZHhMHf-1x7Y/edit?usp=sharing"",""แผน!ED73"")"),0)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IFERROR(__xludf.DUMMYFUNCTION("IMPORTRANGE(""https://docs.google.com/spreadsheets/d/1eHaY18a8A9IcSdp1K8H6x8fbOy06t2VsZHhMHf-1x7Y/edit?usp=sharing"",""แผน!ED73"")"),0)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3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3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6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1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6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1079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0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0"/>
      <c r="C307" s="420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0"/>
      <c r="C308" s="420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IFERROR(__xludf.DUMMYFUNCTION("IMPORTRANGE(""https://docs.google.com/spreadsheets/d/1-uDff_7J0KD5mKrp0Vvzr7lt3OU09vwQwhkpOPPYv2Y/edit?usp=sharing"",""งบพรบ!DY73"")"),0)</f>
        <v>0</v>
      </c>
      <c r="M308" s="427">
        <f ca="1">IFERROR(__xludf.DUMMYFUNCTION("IMPORTRANGE(""https://docs.google.com/spreadsheets/d/1-uDff_7J0KD5mKrp0Vvzr7lt3OU09vwQwhkpOPPYv2Y/edit?usp=sharing"",""งบพรบ!ED73"")"),0)</f>
        <v>0</v>
      </c>
      <c r="N308" s="427">
        <f ca="1">IFERROR(__xludf.DUMMYFUNCTION("IMPORTRANGE(""https://docs.google.com/spreadsheets/d/1-uDff_7J0KD5mKrp0Vvzr7lt3OU09vwQwhkpOPPYv2Y/edit?usp=sharing"",""งบพรบ!EF73"")"),0)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0"/>
      <c r="C309" s="420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0"/>
      <c r="C310" s="420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0"/>
      <c r="C311" s="420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IFERROR(__xludf.DUMMYFUNCTION("IMPORTRANGE(""https://docs.google.com/spreadsheets/d/1-uDff_7J0KD5mKrp0Vvzr7lt3OU09vwQwhkpOPPYv2Y/edit?usp=sharing"",""งบพรบ!EB73"")"),0)</f>
        <v>0</v>
      </c>
      <c r="M311" s="427">
        <f ca="1">IFERROR(__xludf.DUMMYFUNCTION("IMPORTRANGE(""https://docs.google.com/spreadsheets/d/1-uDff_7J0KD5mKrp0Vvzr7lt3OU09vwQwhkpOPPYv2Y/edit?usp=sharing"",""งบพรบ!EE73"")"),0)</f>
        <v>0</v>
      </c>
      <c r="N311" s="427">
        <f ca="1">IFERROR(__xludf.DUMMYFUNCTION("IMPORTRANGE(""https://docs.google.com/spreadsheets/d/1-uDff_7J0KD5mKrp0Vvzr7lt3OU09vwQwhkpOPPYv2Y/edit?usp=sharing"",""งบพรบ!EG73"")"),0)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8" t="s">
        <v>16</v>
      </c>
      <c r="D312" s="737" t="s">
        <v>36</v>
      </c>
      <c r="E312" s="682"/>
      <c r="F312" s="682"/>
      <c r="G312" s="681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423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69" t="s">
        <v>33</v>
      </c>
      <c r="I314" s="426">
        <f ca="1">IFERROR(__xludf.DUMMYFUNCTION("IMPORTRANGE(""https://docs.google.com/spreadsheets/d/1eHaY18a8A9IcSdp1K8H6x8fbOy06t2VsZHhMHf-1x7Y/edit?usp=sharing"",""แผน!EF73"")"),0)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69" t="s">
        <v>33</v>
      </c>
      <c r="I315" s="426">
        <f ca="1">IFERROR(__xludf.DUMMYFUNCTION("IMPORTRANGE(""https://docs.google.com/spreadsheets/d/1eHaY18a8A9IcSdp1K8H6x8fbOy06t2VsZHhMHf-1x7Y/edit?usp=sharing"",""แผน!EG73"")"),0)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69" t="s">
        <v>33</v>
      </c>
      <c r="I316" s="426">
        <f ca="1">IFERROR(__xludf.DUMMYFUNCTION("IMPORTRANGE(""https://docs.google.com/spreadsheets/d/1eHaY18a8A9IcSdp1K8H6x8fbOy06t2VsZHhMHf-1x7Y/edit?usp=sharing"",""แผน!EH73"")"),0)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59" t="s">
        <v>33</v>
      </c>
      <c r="I317" s="201">
        <f ca="1">IFERROR(__xludf.DUMMYFUNCTION("IMPORTRANGE(""https://docs.google.com/spreadsheets/d/1eHaY18a8A9IcSdp1K8H6x8fbOy06t2VsZHhMHf-1x7Y/edit?usp=sharing"",""แผน!EI73"")"),0)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4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1079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0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0"/>
      <c r="C324" s="420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0"/>
      <c r="C325" s="420"/>
      <c r="D325" s="420"/>
      <c r="E325" s="295" t="s">
        <v>35</v>
      </c>
      <c r="F325" s="420"/>
      <c r="G325" s="424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IFERROR(__xludf.DUMMYFUNCTION("IMPORTRANGE(""https://docs.google.com/spreadsheets/d/1-uDff_7J0KD5mKrp0Vvzr7lt3OU09vwQwhkpOPPYv2Y/edit?usp=sharing"",""งบพรบ!EI73"")"),0)</f>
        <v>0</v>
      </c>
      <c r="M325" s="427">
        <f ca="1">IFERROR(__xludf.DUMMYFUNCTION("IMPORTRANGE(""https://docs.google.com/spreadsheets/d/1-uDff_7J0KD5mKrp0Vvzr7lt3OU09vwQwhkpOPPYv2Y/edit?usp=sharing"",""งบพรบ!EN73"")"),0)</f>
        <v>0</v>
      </c>
      <c r="N325" s="427">
        <f ca="1">IFERROR(__xludf.DUMMYFUNCTION("IMPORTRANGE(""https://docs.google.com/spreadsheets/d/1-uDff_7J0KD5mKrp0Vvzr7lt3OU09vwQwhkpOPPYv2Y/edit?usp=sharing"",""งบพรบ!EP73"")"),0)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0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IFERROR(__xludf.DUMMYFUNCTION("IMPORTRANGE(""https://docs.google.com/spreadsheets/d/1-uDff_7J0KD5mKrp0Vvzr7lt3OU09vwQwhkpOPPYv2Y/edit?usp=sharing"",""งบพรบ!EL73"")"),0)</f>
        <v>0</v>
      </c>
      <c r="M328" s="427">
        <f ca="1">IFERROR(__xludf.DUMMYFUNCTION("IMPORTRANGE(""https://docs.google.com/spreadsheets/d/1-uDff_7J0KD5mKrp0Vvzr7lt3OU09vwQwhkpOPPYv2Y/edit?usp=sharing"",""งบพรบ!EO73"")"),0)</f>
        <v>0</v>
      </c>
      <c r="N328" s="427">
        <f ca="1">IFERROR(__xludf.DUMMYFUNCTION("IMPORTRANGE(""https://docs.google.com/spreadsheets/d/1-uDff_7J0KD5mKrp0Vvzr7lt3OU09vwQwhkpOPPYv2Y/edit?usp=sharing"",""งบพรบ!EQ73"")"),0)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680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825" t="s">
        <v>126</v>
      </c>
      <c r="I330" s="426">
        <f ca="1">IFERROR(__xludf.DUMMYFUNCTION("IMPORTRANGE(""https://docs.google.com/spreadsheets/d/1eHaY18a8A9IcSdp1K8H6x8fbOy06t2VsZHhMHf-1x7Y/edit?usp=sharing"",""แผน!EJ73"")"),0)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4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1079" t="s">
        <v>33</v>
      </c>
      <c r="I332" s="403">
        <f ca="1">I344</f>
        <v>40</v>
      </c>
      <c r="J332" s="404">
        <f ca="1">J344+J347+J348+J349+J353</f>
        <v>43</v>
      </c>
      <c r="K332" s="405">
        <f ca="1">IF(I332&gt;0,J332*100/I332,0)</f>
        <v>107.5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213600</v>
      </c>
      <c r="M333" s="715">
        <f ca="1">M334+M335</f>
        <v>155950</v>
      </c>
      <c r="N333" s="715">
        <f ca="1">N334+N335</f>
        <v>52066</v>
      </c>
      <c r="O333" s="715">
        <f t="shared" ref="O333:O341" ca="1" si="45">IF(L333&gt;0,N333*100/L333,0)</f>
        <v>24.375468164794007</v>
      </c>
      <c r="P333" s="715">
        <f t="shared" ref="P333:P341" ca="1" si="46">IF(M333&gt;0,N333*100/M333,0)</f>
        <v>33.386341776210323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213600</v>
      </c>
      <c r="M335" s="427">
        <f t="shared" ca="1" si="47"/>
        <v>155950</v>
      </c>
      <c r="N335" s="427">
        <f t="shared" ca="1" si="47"/>
        <v>52066</v>
      </c>
      <c r="O335" s="427">
        <f t="shared" ca="1" si="45"/>
        <v>24.375468164794007</v>
      </c>
      <c r="P335" s="427">
        <f t="shared" ca="1" si="46"/>
        <v>33.386341776210323</v>
      </c>
    </row>
    <row r="336" spans="1:16" ht="18.75" x14ac:dyDescent="0.25">
      <c r="A336" s="684"/>
      <c r="B336" s="420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213600</v>
      </c>
      <c r="M336" s="427">
        <f ca="1">M337+M338</f>
        <v>155950</v>
      </c>
      <c r="N336" s="427">
        <f ca="1">N337+N338</f>
        <v>52066</v>
      </c>
      <c r="O336" s="427">
        <f t="shared" ca="1" si="45"/>
        <v>24.375468164794007</v>
      </c>
      <c r="P336" s="427">
        <f t="shared" ca="1" si="46"/>
        <v>33.386341776210323</v>
      </c>
    </row>
    <row r="337" spans="1:16" ht="18.75" hidden="1" x14ac:dyDescent="0.25">
      <c r="A337" s="684"/>
      <c r="B337" s="420"/>
      <c r="C337" s="420"/>
      <c r="D337" s="420"/>
      <c r="E337" s="520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0"/>
      <c r="D338" s="420"/>
      <c r="E338" s="295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IFERROR(__xludf.DUMMYFUNCTION("IMPORTRANGE(""https://docs.google.com/spreadsheets/d/1-uDff_7J0KD5mKrp0Vvzr7lt3OU09vwQwhkpOPPYv2Y/edit?usp=sharing"",""งบพรบ!ES73"")"),213600)</f>
        <v>213600</v>
      </c>
      <c r="M338" s="427">
        <f ca="1">IFERROR(__xludf.DUMMYFUNCTION("IMPORTRANGE(""https://docs.google.com/spreadsheets/d/1-uDff_7J0KD5mKrp0Vvzr7lt3OU09vwQwhkpOPPYv2Y/edit?usp=sharing"",""งบพรบ!EX73"")"),155950)</f>
        <v>155950</v>
      </c>
      <c r="N338" s="427">
        <f ca="1">IFERROR(__xludf.DUMMYFUNCTION("IMPORTRANGE(""https://docs.google.com/spreadsheets/d/1-uDff_7J0KD5mKrp0Vvzr7lt3OU09vwQwhkpOPPYv2Y/edit?usp=sharing"",""งบพรบ!EZ73"")"),52066)</f>
        <v>52066</v>
      </c>
      <c r="O338" s="427">
        <f t="shared" ca="1" si="45"/>
        <v>24.375468164794007</v>
      </c>
      <c r="P338" s="427">
        <f t="shared" ca="1" si="46"/>
        <v>33.386341776210323</v>
      </c>
    </row>
    <row r="339" spans="1:16" ht="18.75" x14ac:dyDescent="0.25">
      <c r="A339" s="684"/>
      <c r="B339" s="420"/>
      <c r="C339" s="420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0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0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IFERROR(__xludf.DUMMYFUNCTION("IMPORTRANGE(""https://docs.google.com/spreadsheets/d/1-uDff_7J0KD5mKrp0Vvzr7lt3OU09vwQwhkpOPPYv2Y/edit?usp=sharing"",""งบพรบ!EV73"")"),0)</f>
        <v>0</v>
      </c>
      <c r="M341" s="427">
        <f ca="1">IFERROR(__xludf.DUMMYFUNCTION("IMPORTRANGE(""https://docs.google.com/spreadsheets/d/1-uDff_7J0KD5mKrp0Vvzr7lt3OU09vwQwhkpOPPYv2Y/edit?usp=sharing"",""งบพรบ!EY73"")"),0)</f>
        <v>0</v>
      </c>
      <c r="N341" s="427">
        <f ca="1">IFERROR(__xludf.DUMMYFUNCTION("IMPORTRANGE(""https://docs.google.com/spreadsheets/d/1-uDff_7J0KD5mKrp0Vvzr7lt3OU09vwQwhkpOPPYv2Y/edit?usp=sharing"",""งบพรบ!FA73"")"),0)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8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43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IFERROR(__xludf.DUMMYFUNCTION("IMPORTRANGE(""https://docs.google.com/spreadsheets/d/1eHaY18a8A9IcSdp1K8H6x8fbOy06t2VsZHhMHf-1x7Y/edit?usp=sharing"",""แผน!EK73"")"),40)</f>
        <v>40</v>
      </c>
      <c r="J344" s="426">
        <f ca="1">IFERROR(__xludf.DUMMYFUNCTION("IMPORTRANGE(""https://docs.google.com/spreadsheets/d/1awYsYK3VOup2i3Pq_Yjnu8DRu_mYwSBnCR2QPthd0rU/edit?usp=sharing"",""ศูนย์ยกเว้นโฉนด!D73"")"),19)</f>
        <v>19</v>
      </c>
      <c r="K344" s="427">
        <f ca="1">IF(I344&gt;0,J344*100/I344,0)</f>
        <v>47.5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IFERROR(__xludf.DUMMYFUNCTION("IMPORTRANGE(""https://docs.google.com/spreadsheets/d/1eHaY18a8A9IcSdp1K8H6x8fbOy06t2VsZHhMHf-1x7Y/edit?usp=sharing"",""แผน!EL73"")"),1)</f>
        <v>1</v>
      </c>
      <c r="J346" s="426">
        <f ca="1">IFERROR(__xludf.DUMMYFUNCTION("IMPORTRANGE(""https://docs.google.com/spreadsheets/d/1awYsYK3VOup2i3Pq_Yjnu8DRu_mYwSBnCR2QPthd0rU/edit?usp=sharing"",""ศูนย์รวม!E73"")"),1)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IFERROR(__xludf.DUMMYFUNCTION("IMPORTRANGE(""https://docs.google.com/spreadsheets/d/1awYsYK3VOup2i3Pq_Yjnu8DRu_mYwSBnCR2QPthd0rU/edit?usp=sharing"",""ศูนย์ยกเว้นโฉนด!F73"")"),15)</f>
        <v>15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IFERROR(__xludf.DUMMYFUNCTION("IMPORTRANGE(""https://docs.google.com/spreadsheets/d/1awYsYK3VOup2i3Pq_Yjnu8DRu_mYwSBnCR2QPthd0rU/edit?usp=sharing"",""ศูนย์ยกเว้นโฉนด!G73"")"),3)</f>
        <v>3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IFERROR(__xludf.DUMMYFUNCTION("IMPORTRANGE(""https://docs.google.com/spreadsheets/d/1awYsYK3VOup2i3Pq_Yjnu8DRu_mYwSBnCR2QPthd0rU/edit?usp=sharing"",""ศูนย์ยกเว้นโฉนด!H73"")"),6)</f>
        <v>6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IFERROR(__xludf.DUMMYFUNCTION("IMPORTRANGE(""https://docs.google.com/spreadsheets/d/1awYsYK3VOup2i3Pq_Yjnu8DRu_mYwSBnCR2QPthd0rU/edit?usp=sharing"",""โฉนดM3!G73"")"),0)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IFERROR(__xludf.DUMMYFUNCTION("IMPORTRANGE(""https://docs.google.com/spreadsheets/d/1awYsYK3VOup2i3Pq_Yjnu8DRu_mYwSBnCR2QPthd0rU/edit?usp=sharing"",""โฉนดM3!H73"")"),0)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2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115055</v>
      </c>
      <c r="M356" s="715">
        <f ca="1">M357+M358</f>
        <v>89055</v>
      </c>
      <c r="N356" s="715">
        <f ca="1">N357+N358</f>
        <v>19332</v>
      </c>
      <c r="O356" s="715">
        <f t="shared" ref="O356:O364" ca="1" si="48">IF(L356&gt;0,N356*100/L356,0)</f>
        <v>16.802398852722611</v>
      </c>
      <c r="P356" s="715">
        <f t="shared" ref="P356:P364" ca="1" si="49">IF(M356&gt;0,N356*100/M356,0)</f>
        <v>21.707933299646285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115055</v>
      </c>
      <c r="M358" s="427">
        <f t="shared" ca="1" si="50"/>
        <v>89055</v>
      </c>
      <c r="N358" s="427">
        <f t="shared" ca="1" si="50"/>
        <v>19332</v>
      </c>
      <c r="O358" s="427">
        <f t="shared" ca="1" si="48"/>
        <v>16.802398852722611</v>
      </c>
      <c r="P358" s="427">
        <f t="shared" ca="1" si="49"/>
        <v>21.707933299646285</v>
      </c>
    </row>
    <row r="359" spans="1:16" ht="18.75" x14ac:dyDescent="0.25">
      <c r="A359" s="684"/>
      <c r="B359" s="420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115055</v>
      </c>
      <c r="M359" s="427">
        <f ca="1">M360+M361</f>
        <v>89055</v>
      </c>
      <c r="N359" s="427">
        <f ca="1">N360+N361</f>
        <v>19332</v>
      </c>
      <c r="O359" s="427">
        <f t="shared" ca="1" si="48"/>
        <v>16.802398852722611</v>
      </c>
      <c r="P359" s="427">
        <f t="shared" ca="1" si="49"/>
        <v>21.707933299646285</v>
      </c>
    </row>
    <row r="360" spans="1:16" ht="18.75" hidden="1" x14ac:dyDescent="0.25">
      <c r="A360" s="684"/>
      <c r="B360" s="420"/>
      <c r="C360" s="420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0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IFERROR(__xludf.DUMMYFUNCTION("IMPORTRANGE(""https://docs.google.com/spreadsheets/d/1-uDff_7J0KD5mKrp0Vvzr7lt3OU09vwQwhkpOPPYv2Y/edit?usp=sharing"",""งบพรบ!FC73"")"),115055)</f>
        <v>115055</v>
      </c>
      <c r="M361" s="427">
        <f ca="1">IFERROR(__xludf.DUMMYFUNCTION("IMPORTRANGE(""https://docs.google.com/spreadsheets/d/1-uDff_7J0KD5mKrp0Vvzr7lt3OU09vwQwhkpOPPYv2Y/edit?usp=sharing"",""งบพรบ!FH73"")"),89055)</f>
        <v>89055</v>
      </c>
      <c r="N361" s="427">
        <f ca="1">IFERROR(__xludf.DUMMYFUNCTION("IMPORTRANGE(""https://docs.google.com/spreadsheets/d/1-uDff_7J0KD5mKrp0Vvzr7lt3OU09vwQwhkpOPPYv2Y/edit?usp=sharing"",""งบพรบ!FJ73"")"),19332)</f>
        <v>19332</v>
      </c>
      <c r="O361" s="427">
        <f t="shared" ca="1" si="48"/>
        <v>16.802398852722611</v>
      </c>
      <c r="P361" s="427">
        <f t="shared" ca="1" si="49"/>
        <v>21.707933299646285</v>
      </c>
    </row>
    <row r="362" spans="1:16" ht="18.75" x14ac:dyDescent="0.25">
      <c r="A362" s="684"/>
      <c r="B362" s="420"/>
      <c r="C362" s="420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0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0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IFERROR(__xludf.DUMMYFUNCTION("IMPORTRANGE(""https://docs.google.com/spreadsheets/d/1-uDff_7J0KD5mKrp0Vvzr7lt3OU09vwQwhkpOPPYv2Y/edit?usp=sharing"",""งบพรบ!FF73"")"),0)</f>
        <v>0</v>
      </c>
      <c r="M364" s="427">
        <f ca="1">IFERROR(__xludf.DUMMYFUNCTION("IMPORTRANGE(""https://docs.google.com/spreadsheets/d/1-uDff_7J0KD5mKrp0Vvzr7lt3OU09vwQwhkpOPPYv2Y/edit?usp=sharing"",""งบพรบ!FI73"")"),0)</f>
        <v>0</v>
      </c>
      <c r="N364" s="427">
        <f ca="1">IFERROR(__xludf.DUMMYFUNCTION("IMPORTRANGE(""https://docs.google.com/spreadsheets/d/1-uDff_7J0KD5mKrp0Vvzr7lt3OU09vwQwhkpOPPYv2Y/edit?usp=sharing"",""งบพรบ!FK73"")"),0)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5"/>
      <c r="D365" s="556" t="s">
        <v>142</v>
      </c>
      <c r="E365" s="435"/>
      <c r="F365" s="435"/>
      <c r="G365" s="438"/>
      <c r="H365" s="712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8" t="s">
        <v>16</v>
      </c>
      <c r="D366" s="737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22"/>
      <c r="C367" s="432"/>
      <c r="D367" s="422"/>
      <c r="E367" s="706" t="s">
        <v>143</v>
      </c>
      <c r="F367" s="422"/>
      <c r="G367" s="680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IFERROR(__xludf.DUMMYFUNCTION("IMPORTRANGE(""https://docs.google.com/spreadsheets/d/1tdoBKaGub7dwA3U6UFTqxio9LNnvDCQjHKmttSEBsFQ/edit?usp=sharing"",""จัดที่ดิน!AB73"")"),0)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IFERROR(__xludf.DUMMYFUNCTION("IMPORTRANGE(""https://docs.google.com/spreadsheets/d/1eHaY18a8A9IcSdp1K8H6x8fbOy06t2VsZHhMHf-1x7Y/edit?usp=sharing"",""แผน!EW73"")"),0)</f>
        <v>0</v>
      </c>
      <c r="J368" s="704">
        <f ca="1">IFERROR(__xludf.DUMMYFUNCTION("IMPORTRANGE(""https://docs.google.com/spreadsheets/d/1tdoBKaGub7dwA3U6UFTqxio9LNnvDCQjHKmttSEBsFQ/edit?usp=sharing"",""จัดที่ดิน!AC73"")"),0)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69" t="s">
        <v>33</v>
      </c>
      <c r="I369" s="426">
        <f ca="1">IFERROR(__xludf.DUMMYFUNCTION("IMPORTRANGE(""https://docs.google.com/spreadsheets/d/1eHaY18a8A9IcSdp1K8H6x8fbOy06t2VsZHhMHf-1x7Y/edit?usp=sharing"",""แผน!EX73"")"),0)</f>
        <v>0</v>
      </c>
      <c r="J369" s="426">
        <f ca="1">IFERROR(__xludf.DUMMYFUNCTION("IMPORTRANGE(""https://docs.google.com/spreadsheets/d/1tdoBKaGub7dwA3U6UFTqxio9LNnvDCQjHKmttSEBsFQ/edit?usp=sharing"",""จัดที่ดิน!AD73"")"),0)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69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IFERROR(__xludf.DUMMYFUNCTION("IMPORTRANGE(""https://docs.google.com/spreadsheets/d/1tdoBKaGub7dwA3U6UFTqxio9LNnvDCQjHKmttSEBsFQ/edit?usp=sharing"",""จัดที่ดิน!AE73"")"),0)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69" t="s">
        <v>33</v>
      </c>
      <c r="I371" s="426">
        <f ca="1">IFERROR(__xludf.DUMMYFUNCTION("IMPORTRANGE(""https://docs.google.com/spreadsheets/d/1eHaY18a8A9IcSdp1K8H6x8fbOy06t2VsZHhMHf-1x7Y/edit?usp=sharing"",""แผน!EY73"")"),0)</f>
        <v>0</v>
      </c>
      <c r="J371" s="426">
        <f ca="1">IFERROR(__xludf.DUMMYFUNCTION("IMPORTRANGE(""https://docs.google.com/spreadsheets/d/1tdoBKaGub7dwA3U6UFTqxio9LNnvDCQjHKmttSEBsFQ/edit?usp=sharing"",""จัดที่ดิน!AF73"")"),0)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69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IFERROR(__xludf.DUMMYFUNCTION("IMPORTRANGE(""https://docs.google.com/spreadsheets/d/1tdoBKaGub7dwA3U6UFTqxio9LNnvDCQjHKmttSEBsFQ/edit?usp=sharing"",""จัดที่ดิน!AG73"")"),0)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628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700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1078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531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0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0"/>
      <c r="D379" s="420"/>
      <c r="E379" s="520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0"/>
      <c r="D380" s="523" t="s">
        <v>20</v>
      </c>
      <c r="E380" s="420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IFERROR(__xludf.DUMMYFUNCTION("IMPORTRANGE(""https://docs.google.com/spreadsheets/d/1-uDff_7J0KD5mKrp0Vvzr7lt3OU09vwQwhkpOPPYv2Y/edit?usp=sharing"",""งบพรบ!FM73"")"),0)</f>
        <v>0</v>
      </c>
      <c r="M382" s="502">
        <f ca="1">IFERROR(__xludf.DUMMYFUNCTION("IMPORTRANGE(""https://docs.google.com/spreadsheets/d/1-uDff_7J0KD5mKrp0Vvzr7lt3OU09vwQwhkpOPPYv2Y/edit?usp=sharing"",""งบพรบ!FR73"")"),0)</f>
        <v>0</v>
      </c>
      <c r="N382" s="502">
        <f ca="1">IFERROR(__xludf.DUMMYFUNCTION("IMPORTRANGE(""https://docs.google.com/spreadsheets/d/1-uDff_7J0KD5mKrp0Vvzr7lt3OU09vwQwhkpOPPYv2Y/edit?usp=sharing"",""งบพรบ!FT73"")"),0)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IFERROR(__xludf.DUMMYFUNCTION("IMPORTRANGE(""https://docs.google.com/spreadsheets/d/1-uDff_7J0KD5mKrp0Vvzr7lt3OU09vwQwhkpOPPYv2Y/edit?usp=sharing"",""งบพรบ!FP73"")"),0)</f>
        <v>0</v>
      </c>
      <c r="M385" s="502">
        <f ca="1">IFERROR(__xludf.DUMMYFUNCTION("IMPORTRANGE(""https://docs.google.com/spreadsheets/d/1-uDff_7J0KD5mKrp0Vvzr7lt3OU09vwQwhkpOPPYv2Y/edit?usp=sharing"",""งบพรบ!FS73"")"),0)</f>
        <v>0</v>
      </c>
      <c r="N385" s="502">
        <f ca="1">IFERROR(__xludf.DUMMYFUNCTION("IMPORTRANGE(""https://docs.google.com/spreadsheets/d/1-uDff_7J0KD5mKrp0Vvzr7lt3OU09vwQwhkpOPPYv2Y/edit?usp=sharing"",""งบพรบ!FU73"")"),0)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3" orientation="portrait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D085A-6E5A-494D-8C19-96BF358F9674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163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1453437</v>
      </c>
      <c r="M18" s="843">
        <f ca="1">M19+M20</f>
        <v>1172279</v>
      </c>
      <c r="N18" s="843">
        <f ca="1">N19+N20</f>
        <v>547706.62</v>
      </c>
      <c r="O18" s="843">
        <f t="shared" ref="O18:O26" ca="1" si="0">IF(L18&gt;0,N18*100/L18,0)</f>
        <v>37.683547343297299</v>
      </c>
      <c r="P18" s="843">
        <f t="shared" ref="P18:P26" ca="1" si="1">IF(M18&gt;0,N18*100/M18,0)</f>
        <v>46.721524483506059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1453437</v>
      </c>
      <c r="M20" s="947">
        <f t="shared" ca="1" si="2"/>
        <v>1172279</v>
      </c>
      <c r="N20" s="947">
        <f t="shared" ca="1" si="2"/>
        <v>547706.62</v>
      </c>
      <c r="O20" s="947">
        <f t="shared" ca="1" si="0"/>
        <v>37.683547343297299</v>
      </c>
      <c r="P20" s="947">
        <f t="shared" ca="1" si="1"/>
        <v>46.721524483506059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1453437</v>
      </c>
      <c r="M21" s="427">
        <f ca="1">M22+M23</f>
        <v>1172279</v>
      </c>
      <c r="N21" s="427">
        <f ca="1">N22+N23</f>
        <v>547706.62</v>
      </c>
      <c r="O21" s="427">
        <f t="shared" ca="1" si="0"/>
        <v>37.683547343297299</v>
      </c>
      <c r="P21" s="427">
        <f t="shared" ca="1" si="1"/>
        <v>46.721524483506059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1453437</v>
      </c>
      <c r="M23" s="427">
        <f t="shared" ca="1" si="3"/>
        <v>1172279</v>
      </c>
      <c r="N23" s="427">
        <f t="shared" ca="1" si="3"/>
        <v>547706.62</v>
      </c>
      <c r="O23" s="427">
        <f t="shared" ca="1" si="0"/>
        <v>37.683547343297299</v>
      </c>
      <c r="P23" s="427">
        <f t="shared" ca="1" si="1"/>
        <v>46.721524483506059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1453437</v>
      </c>
      <c r="M40" s="940">
        <f ca="1">M44+M59+M72+M94+M125+M139+M157+M173+M186+M266+M282+M303+M320+M333+M356</f>
        <v>1172279</v>
      </c>
      <c r="N40" s="940">
        <f ca="1">N44+N59+N72+N94+N125+N139+N157+N173+N186+N266+N282+N303+N320+N333+N356</f>
        <v>547706.62</v>
      </c>
      <c r="O40" s="940">
        <f ca="1">IF(L40&gt;0,N40*100/L40,0)</f>
        <v>37.683547343297299</v>
      </c>
      <c r="P40" s="940">
        <f ca="1">IF(M40&gt;0,N40*100/M40,0)</f>
        <v>46.721524483506059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202842</v>
      </c>
      <c r="M44" s="925">
        <f ca="1">M45+M46</f>
        <v>207084</v>
      </c>
      <c r="N44" s="925">
        <f ca="1">N45+N46</f>
        <v>112242</v>
      </c>
      <c r="O44" s="925">
        <f t="shared" ref="O44:O52" ca="1" si="5">IF(L44&gt;0,N44*100/L44,0)</f>
        <v>55.334693998284379</v>
      </c>
      <c r="P44" s="925">
        <f t="shared" ref="P44:P52" ca="1" si="6">IF(M44&gt;0,N44*100/M44,0)</f>
        <v>54.201193718491048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202842</v>
      </c>
      <c r="M46" s="917">
        <f t="shared" ca="1" si="7"/>
        <v>207084</v>
      </c>
      <c r="N46" s="917">
        <f t="shared" ca="1" si="7"/>
        <v>112242</v>
      </c>
      <c r="O46" s="917">
        <f t="shared" ca="1" si="5"/>
        <v>55.334693998284379</v>
      </c>
      <c r="P46" s="917">
        <f t="shared" ca="1" si="6"/>
        <v>54.201193718491048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202842</v>
      </c>
      <c r="M47" s="427">
        <f ca="1">M48+M49</f>
        <v>207084</v>
      </c>
      <c r="N47" s="427">
        <f ca="1">N48+N49</f>
        <v>112242</v>
      </c>
      <c r="O47" s="427">
        <f t="shared" ca="1" si="5"/>
        <v>55.334693998284379</v>
      </c>
      <c r="P47" s="427">
        <f t="shared" ca="1" si="6"/>
        <v>54.201193718491048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IFERROR(__xludf.DUMMYFUNCTION("IMPORTRANGE(""https://docs.google.com/spreadsheets/d/1-uDff_7J0KD5mKrp0Vvzr7lt3OU09vwQwhkpOPPYv2Y/edit?usp=sharing"",""งบพรบ!P54"")"),202842)</f>
        <v>202842</v>
      </c>
      <c r="M49" s="427">
        <f ca="1">IFERROR(__xludf.DUMMYFUNCTION("IMPORTRANGE(""https://docs.google.com/spreadsheets/d/1-uDff_7J0KD5mKrp0Vvzr7lt3OU09vwQwhkpOPPYv2Y/edit?usp=sharing"",""งบพรบ!V54"")"),207084)</f>
        <v>207084</v>
      </c>
      <c r="N49" s="427">
        <f ca="1">IFERROR(__xludf.DUMMYFUNCTION("IMPORTRANGE(""https://docs.google.com/spreadsheets/d/1-uDff_7J0KD5mKrp0Vvzr7lt3OU09vwQwhkpOPPYv2Y/edit?usp=sharing"",""งบพรบ!Y54"")"),112242)</f>
        <v>112242</v>
      </c>
      <c r="O49" s="427">
        <f t="shared" ca="1" si="5"/>
        <v>55.334693998284379</v>
      </c>
      <c r="P49" s="427">
        <f t="shared" ca="1" si="6"/>
        <v>54.201193718491048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IFERROR(__xludf.DUMMYFUNCTION("IMPORTRANGE(""https://docs.google.com/spreadsheets/d/1-uDff_7J0KD5mKrp0Vvzr7lt3OU09vwQwhkpOPPYv2Y/edit?usp=sharing"",""งบพรบ!S54"")"),0)</f>
        <v>0</v>
      </c>
      <c r="M52" s="427">
        <f ca="1">IFERROR(__xludf.DUMMYFUNCTION("IMPORTRANGE(""https://docs.google.com/spreadsheets/d/1-uDff_7J0KD5mKrp0Vvzr7lt3OU09vwQwhkpOPPYv2Y/edit?usp=sharing"",""งบพรบ!W54"")"),0)</f>
        <v>0</v>
      </c>
      <c r="N52" s="427">
        <f ca="1">IFERROR(__xludf.DUMMYFUNCTION("IMPORTRANGE(""https://docs.google.com/spreadsheets/d/1-uDff_7J0KD5mKrp0Vvzr7lt3OU09vwQwhkpOPPYv2Y/edit?usp=sharing"",""งบพรบ!Z54"")"),0)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419200</v>
      </c>
      <c r="M59" s="899">
        <f ca="1">M60+M61</f>
        <v>316350</v>
      </c>
      <c r="N59" s="899">
        <f ca="1">N60+N61</f>
        <v>172884.68</v>
      </c>
      <c r="O59" s="899">
        <f t="shared" ref="O59:O67" ca="1" si="8">IF(L59&gt;0,N59*100/L59,0)</f>
        <v>41.241574427480913</v>
      </c>
      <c r="P59" s="899">
        <f t="shared" ref="P59:P67" ca="1" si="9">IF(M59&gt;0,N59*100/M59,0)</f>
        <v>54.649811917180337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419200</v>
      </c>
      <c r="M61" s="891">
        <f t="shared" ca="1" si="10"/>
        <v>316350</v>
      </c>
      <c r="N61" s="891">
        <f t="shared" ca="1" si="10"/>
        <v>172884.68</v>
      </c>
      <c r="O61" s="891">
        <f t="shared" ca="1" si="8"/>
        <v>41.241574427480913</v>
      </c>
      <c r="P61" s="891">
        <f t="shared" ca="1" si="9"/>
        <v>54.649811917180337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419200</v>
      </c>
      <c r="M62" s="427">
        <f ca="1">M63+M64</f>
        <v>316350</v>
      </c>
      <c r="N62" s="427">
        <f ca="1">N63+N64</f>
        <v>172884.68</v>
      </c>
      <c r="O62" s="427">
        <f t="shared" ca="1" si="8"/>
        <v>41.241574427480913</v>
      </c>
      <c r="P62" s="427">
        <f t="shared" ca="1" si="9"/>
        <v>54.649811917180337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IFERROR(__xludf.DUMMYFUNCTION("IMPORTRANGE(""https://docs.google.com/spreadsheets/d/1-uDff_7J0KD5mKrp0Vvzr7lt3OU09vwQwhkpOPPYv2Y/edit?usp=sharing"",""งบพรบ!AC54"")"),419200)</f>
        <v>419200</v>
      </c>
      <c r="M64" s="427">
        <f ca="1">IFERROR(__xludf.DUMMYFUNCTION("IMPORTRANGE(""https://docs.google.com/spreadsheets/d/1-uDff_7J0KD5mKrp0Vvzr7lt3OU09vwQwhkpOPPYv2Y/edit?usp=sharing"",""งบพรบ!AH54"")"),316350)</f>
        <v>316350</v>
      </c>
      <c r="N64" s="427">
        <f ca="1">IFERROR(__xludf.DUMMYFUNCTION("IMPORTRANGE(""https://docs.google.com/spreadsheets/d/1-uDff_7J0KD5mKrp0Vvzr7lt3OU09vwQwhkpOPPYv2Y/edit?usp=sharing"",""งบพรบ!AJ54"")"),172884.68)</f>
        <v>172884.68</v>
      </c>
      <c r="O64" s="427">
        <f t="shared" ca="1" si="8"/>
        <v>41.241574427480913</v>
      </c>
      <c r="P64" s="427">
        <f t="shared" ca="1" si="9"/>
        <v>54.649811917180337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IFERROR(__xludf.DUMMYFUNCTION("IMPORTRANGE(""https://docs.google.com/spreadsheets/d/1-uDff_7J0KD5mKrp0Vvzr7lt3OU09vwQwhkpOPPYv2Y/edit?usp=sharing"",""งบพรบ!AF54"")"),0)</f>
        <v>0</v>
      </c>
      <c r="M67" s="624">
        <f ca="1">IFERROR(__xludf.DUMMYFUNCTION("IMPORTRANGE(""https://docs.google.com/spreadsheets/d/1-uDff_7J0KD5mKrp0Vvzr7lt3OU09vwQwhkpOPPYv2Y/edit?usp=sharing"",""งบพรบ!AI54"")"),0)</f>
        <v>0</v>
      </c>
      <c r="N67" s="624">
        <f ca="1">IFERROR(__xludf.DUMMYFUNCTION("IMPORTRANGE(""https://docs.google.com/spreadsheets/d/1-uDff_7J0KD5mKrp0Vvzr7lt3OU09vwQwhkpOPPYv2Y/edit?usp=sharing"",""งบพรบ!AK54"")"),0)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IFERROR(__xludf.DUMMYFUNCTION("IMPORTRANGE(""https://docs.google.com/spreadsheets/d/1-uDff_7J0KD5mKrp0Vvzr7lt3OU09vwQwhkpOPPYv2Y/edit?usp=sharing"",""งบพรบ!AM54"")"),0)</f>
        <v>0</v>
      </c>
      <c r="M77" s="427">
        <f ca="1">IFERROR(__xludf.DUMMYFUNCTION("IMPORTRANGE(""https://docs.google.com/spreadsheets/d/1-uDff_7J0KD5mKrp0Vvzr7lt3OU09vwQwhkpOPPYv2Y/edit?usp=sharing"",""งบพรบ!AR54"")"),0)</f>
        <v>0</v>
      </c>
      <c r="N77" s="427">
        <f ca="1">IFERROR(__xludf.DUMMYFUNCTION("IMPORTRANGE(""https://docs.google.com/spreadsheets/d/1-uDff_7J0KD5mKrp0Vvzr7lt3OU09vwQwhkpOPPYv2Y/edit?usp=sharing"",""งบพรบ!AT54"")"),0)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IFERROR(__xludf.DUMMYFUNCTION("IMPORTRANGE(""https://docs.google.com/spreadsheets/d/1-uDff_7J0KD5mKrp0Vvzr7lt3OU09vwQwhkpOPPYv2Y/edit?usp=sharing"",""งบพรบ!AP54"")"),0)</f>
        <v>0</v>
      </c>
      <c r="M80" s="427">
        <f ca="1">IFERROR(__xludf.DUMMYFUNCTION("IMPORTRANGE(""https://docs.google.com/spreadsheets/d/1-uDff_7J0KD5mKrp0Vvzr7lt3OU09vwQwhkpOPPYv2Y/edit?usp=sharing"",""งบพรบ!AS54"")"),0)</f>
        <v>0</v>
      </c>
      <c r="N80" s="427">
        <f ca="1">IFERROR(__xludf.DUMMYFUNCTION("IMPORTRANGE(""https://docs.google.com/spreadsheets/d/1-uDff_7J0KD5mKrp0Vvzr7lt3OU09vwQwhkpOPPYv2Y/edit?usp=sharing"",""งบพรบ!AU54"")"),0)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IFERROR(__xludf.DUMMYFUNCTION("IMPORTRANGE(""https://docs.google.com/spreadsheets/d/1eHaY18a8A9IcSdp1K8H6x8fbOy06t2VsZHhMHf-1x7Y/edit?usp=sharing"",""แผน!H54"")"),0)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IFERROR(__xludf.DUMMYFUNCTION("IMPORTRANGE(""https://docs.google.com/spreadsheets/d/1eHaY18a8A9IcSdp1K8H6x8fbOy06t2VsZHhMHf-1x7Y/edit?usp=sharing"",""แผน!I54"")"),0)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IFERROR(__xludf.DUMMYFUNCTION("IMPORTRANGE(""https://docs.google.com/spreadsheets/d/1eHaY18a8A9IcSdp1K8H6x8fbOy06t2VsZHhMHf-1x7Y/edit?usp=sharing"",""แผน!F54"")"),0)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IFERROR(__xludf.DUMMYFUNCTION("IMPORTRANGE(""https://docs.google.com/spreadsheets/d/1eHaY18a8A9IcSdp1K8H6x8fbOy06t2VsZHhMHf-1x7Y/edit?usp=sharing"",""แผน!G54"")"),0)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IFERROR(__xludf.DUMMYFUNCTION("IMPORTRANGE(""https://docs.google.com/spreadsheets/d/1eHaY18a8A9IcSdp1K8H6x8fbOy06t2VsZHhMHf-1x7Y/edit?usp=sharing"",""แผน!D54"")"),0)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IFERROR(__xludf.DUMMYFUNCTION("IMPORTRANGE(""https://docs.google.com/spreadsheets/d/1eHaY18a8A9IcSdp1K8H6x8fbOy06t2VsZHhMHf-1x7Y/edit?usp=sharing"",""แผน!E54"")"),0)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IFERROR(__xludf.DUMMYFUNCTION("IMPORTRANGE(""https://docs.google.com/spreadsheets/d/1eHaY18a8A9IcSdp1K8H6x8fbOy06t2VsZHhMHf-1x7Y/edit?usp=sharing"",""แผน!J54"")"),0)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IFERROR(__xludf.DUMMYFUNCTION("IMPORTRANGE(""https://docs.google.com/spreadsheets/d/1-uDff_7J0KD5mKrp0Vvzr7lt3OU09vwQwhkpOPPYv2Y/edit?usp=sharing"",""งบพรบ!AW54"")"),0)</f>
        <v>0</v>
      </c>
      <c r="M99" s="427">
        <f ca="1">IFERROR(__xludf.DUMMYFUNCTION("IMPORTRANGE(""https://docs.google.com/spreadsheets/d/1-uDff_7J0KD5mKrp0Vvzr7lt3OU09vwQwhkpOPPYv2Y/edit?usp=sharing"",""งบพรบ!BB54"")"),0)</f>
        <v>0</v>
      </c>
      <c r="N99" s="427">
        <f ca="1">IFERROR(__xludf.DUMMYFUNCTION("IMPORTRANGE(""https://docs.google.com/spreadsheets/d/1-uDff_7J0KD5mKrp0Vvzr7lt3OU09vwQwhkpOPPYv2Y/edit?usp=sharing"",""งบพรบ!BD54"")"),0)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IFERROR(__xludf.DUMMYFUNCTION("IMPORTRANGE(""https://docs.google.com/spreadsheets/d/1-uDff_7J0KD5mKrp0Vvzr7lt3OU09vwQwhkpOPPYv2Y/edit?usp=sharing"",""งบพรบ!AZ54"")"),0)</f>
        <v>0</v>
      </c>
      <c r="M102" s="427">
        <f ca="1">IFERROR(__xludf.DUMMYFUNCTION("IMPORTRANGE(""https://docs.google.com/spreadsheets/d/1-uDff_7J0KD5mKrp0Vvzr7lt3OU09vwQwhkpOPPYv2Y/edit?usp=sharing"",""งบพรบ!BC54"")"),0)</f>
        <v>0</v>
      </c>
      <c r="N102" s="427">
        <f ca="1">IFERROR(__xludf.DUMMYFUNCTION("IMPORTRANGE(""https://docs.google.com/spreadsheets/d/1-uDff_7J0KD5mKrp0Vvzr7lt3OU09vwQwhkpOPPYv2Y/edit?usp=sharing"",""งบพรบ!BE54"")"),0)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IFERROR(__xludf.DUMMYFUNCTION("IMPORTRANGE(""https://docs.google.com/spreadsheets/d/1eHaY18a8A9IcSdp1K8H6x8fbOy06t2VsZHhMHf-1x7Y/edit?usp=sharing"",""แผน!N54"")"),0)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IFERROR(__xludf.DUMMYFUNCTION("IMPORTRANGE(""https://docs.google.com/spreadsheets/d/1eHaY18a8A9IcSdp1K8H6x8fbOy06t2VsZHhMHf-1x7Y/edit?usp=sharing"",""แผน!O54"")"),0)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IFERROR(__xludf.DUMMYFUNCTION("IMPORTRANGE(""https://docs.google.com/spreadsheets/d/1eHaY18a8A9IcSdp1K8H6x8fbOy06t2VsZHhMHf-1x7Y/edit?usp=sharing"",""แผน!R54"")"),0)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IFERROR(__xludf.DUMMYFUNCTION("IMPORTRANGE(""https://docs.google.com/spreadsheets/d/1-uDff_7J0KD5mKrp0Vvzr7lt3OU09vwQwhkpOPPYv2Y/edit?usp=sharing"",""งบพรบ!BG54"")"),0)</f>
        <v>0</v>
      </c>
      <c r="M130" s="864">
        <f ca="1">IFERROR(__xludf.DUMMYFUNCTION("IMPORTRANGE(""https://docs.google.com/spreadsheets/d/1-uDff_7J0KD5mKrp0Vvzr7lt3OU09vwQwhkpOPPYv2Y/edit?usp=sharing"",""งบพรบ!BL54"")"),0)</f>
        <v>0</v>
      </c>
      <c r="N130" s="864">
        <f ca="1">IFERROR(__xludf.DUMMYFUNCTION("IMPORTRANGE(""https://docs.google.com/spreadsheets/d/1-uDff_7J0KD5mKrp0Vvzr7lt3OU09vwQwhkpOPPYv2Y/edit?usp=sharing"",""งบพรบ!BN54"")"),0)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IFERROR(__xludf.DUMMYFUNCTION("IMPORTRANGE(""https://docs.google.com/spreadsheets/d/1-uDff_7J0KD5mKrp0Vvzr7lt3OU09vwQwhkpOPPYv2Y/edit?usp=sharing"",""งบพรบ!BJ54"")"),0)</f>
        <v>0</v>
      </c>
      <c r="M133" s="864">
        <f ca="1">IFERROR(__xludf.DUMMYFUNCTION("IMPORTRANGE(""https://docs.google.com/spreadsheets/d/1-uDff_7J0KD5mKrp0Vvzr7lt3OU09vwQwhkpOPPYv2Y/edit?usp=sharing"",""งบพรบ!BM54"")"),0)</f>
        <v>0</v>
      </c>
      <c r="N133" s="864">
        <f ca="1">IFERROR(__xludf.DUMMYFUNCTION("IMPORTRANGE(""https://docs.google.com/spreadsheets/d/1-uDff_7J0KD5mKrp0Vvzr7lt3OU09vwQwhkpOPPYv2Y/edit?usp=sharing"",""งบพรบ!BO54"")"),0)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IFERROR(__xludf.DUMMYFUNCTION("IMPORTRANGE(""https://docs.google.com/spreadsheets/d/1-uDff_7J0KD5mKrp0Vvzr7lt3OU09vwQwhkpOPPYv2Y/edit?usp=sharing"",""งบพรบ!BQ54"")"),0)</f>
        <v>0</v>
      </c>
      <c r="M144" s="427">
        <f ca="1">IFERROR(__xludf.DUMMYFUNCTION("IMPORTRANGE(""https://docs.google.com/spreadsheets/d/1-uDff_7J0KD5mKrp0Vvzr7lt3OU09vwQwhkpOPPYv2Y/edit?usp=sharing"",""งบพรบ!BV54"")"),0)</f>
        <v>0</v>
      </c>
      <c r="N144" s="427">
        <f ca="1">IFERROR(__xludf.DUMMYFUNCTION("IMPORTRANGE(""https://docs.google.com/spreadsheets/d/1-uDff_7J0KD5mKrp0Vvzr7lt3OU09vwQwhkpOPPYv2Y/edit?usp=sharing"",""งบพรบ!BX54"")"),0)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IFERROR(__xludf.DUMMYFUNCTION("IMPORTRANGE(""https://docs.google.com/spreadsheets/d/1-uDff_7J0KD5mKrp0Vvzr7lt3OU09vwQwhkpOPPYv2Y/edit?usp=sharing"",""งบพรบ!BT54"")"),0)</f>
        <v>0</v>
      </c>
      <c r="M147" s="427">
        <f ca="1">IFERROR(__xludf.DUMMYFUNCTION("IMPORTRANGE(""https://docs.google.com/spreadsheets/d/1-uDff_7J0KD5mKrp0Vvzr7lt3OU09vwQwhkpOPPYv2Y/edit?usp=sharing"",""งบพรบ!BW54"")"),0)</f>
        <v>0</v>
      </c>
      <c r="N147" s="427">
        <f ca="1">IFERROR(__xludf.DUMMYFUNCTION("IMPORTRANGE(""https://docs.google.com/spreadsheets/d/1-uDff_7J0KD5mKrp0Vvzr7lt3OU09vwQwhkpOPPYv2Y/edit?usp=sharing"",""งบพรบ!BY54"")"),0)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IFERROR(__xludf.DUMMYFUNCTION("IMPORTRANGE(""https://docs.google.com/spreadsheets/d/1eHaY18a8A9IcSdp1K8H6x8fbOy06t2VsZHhMHf-1x7Y/edit?usp=sharing"",""แผน!U54"")"),0)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IFERROR(__xludf.DUMMYFUNCTION("IMPORTRANGE(""https://docs.google.com/spreadsheets/d/1eHaY18a8A9IcSdp1K8H6x8fbOy06t2VsZHhMHf-1x7Y/edit?usp=sharing"",""แผน!V54"")"),0)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IFERROR(__xludf.DUMMYFUNCTION("IMPORTRANGE(""https://docs.google.com/spreadsheets/d/1eHaY18a8A9IcSdp1K8H6x8fbOy06t2VsZHhMHf-1x7Y/edit?usp=sharing"",""แผน!W54"")"),0)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IFERROR(__xludf.DUMMYFUNCTION("IMPORTRANGE(""https://docs.google.com/spreadsheets/d/1eHaY18a8A9IcSdp1K8H6x8fbOy06t2VsZHhMHf-1x7Y/edit?usp=sharing"",""แผน!X54"")"),0)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IFERROR(__xludf.DUMMYFUNCTION("IMPORTRANGE(""https://docs.google.com/spreadsheets/d/1eHaY18a8A9IcSdp1K8H6x8fbOy06t2VsZHhMHf-1x7Y/edit?usp=sharing"",""แผน!Y54"")"),0)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IFERROR(__xludf.DUMMYFUNCTION("IMPORTRANGE(""https://docs.google.com/spreadsheets/d/1-uDff_7J0KD5mKrp0Vvzr7lt3OU09vwQwhkpOPPYv2Y/edit?usp=sharing"",""งบพรบ!CA54"")"),0)</f>
        <v>0</v>
      </c>
      <c r="M162" s="427">
        <f ca="1">IFERROR(__xludf.DUMMYFUNCTION("IMPORTRANGE(""https://docs.google.com/spreadsheets/d/1-uDff_7J0KD5mKrp0Vvzr7lt3OU09vwQwhkpOPPYv2Y/edit?usp=sharing"",""งบพรบ!CF54"")"),0)</f>
        <v>0</v>
      </c>
      <c r="N162" s="427">
        <f ca="1">IFERROR(__xludf.DUMMYFUNCTION("IMPORTRANGE(""https://docs.google.com/spreadsheets/d/1-uDff_7J0KD5mKrp0Vvzr7lt3OU09vwQwhkpOPPYv2Y/edit?usp=sharing"",""งบพรบ!CH54"")"),0)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IFERROR(__xludf.DUMMYFUNCTION("IMPORTRANGE(""https://docs.google.com/spreadsheets/d/1-uDff_7J0KD5mKrp0Vvzr7lt3OU09vwQwhkpOPPYv2Y/edit?usp=sharing"",""งบพรบ!CD54"")"),0)</f>
        <v>0</v>
      </c>
      <c r="M165" s="427">
        <f ca="1">IFERROR(__xludf.DUMMYFUNCTION("IMPORTRANGE(""https://docs.google.com/spreadsheets/d/1-uDff_7J0KD5mKrp0Vvzr7lt3OU09vwQwhkpOPPYv2Y/edit?usp=sharing"",""งบพรบ!CG54"")"),0)</f>
        <v>0</v>
      </c>
      <c r="N165" s="427">
        <f ca="1">IFERROR(__xludf.DUMMYFUNCTION("IMPORTRANGE(""https://docs.google.com/spreadsheets/d/1-uDff_7J0KD5mKrp0Vvzr7lt3OU09vwQwhkpOPPYv2Y/edit?usp=sharing"",""งบพรบ!CI54"")"),0)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IFERROR(__xludf.DUMMYFUNCTION("IMPORTRANGE(""https://docs.google.com/spreadsheets/d/1eHaY18a8A9IcSdp1K8H6x8fbOy06t2VsZHhMHf-1x7Y/edit?usp=sharing"",""แผน!Z54"")"),0)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IFERROR(__xludf.DUMMYFUNCTION("IMPORTRANGE(""https://docs.google.com/spreadsheets/d/1eHaY18a8A9IcSdp1K8H6x8fbOy06t2VsZHhMHf-1x7Y/edit?usp=sharing"",""แผน!Z54"")"),0)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IFERROR(__xludf.DUMMYFUNCTION("IMPORTRANGE(""https://docs.google.com/spreadsheets/d/1eHaY18a8A9IcSdp1K8H6x8fbOy06t2VsZHhMHf-1x7Y/edit?usp=sharing"",""แผน!Z54"")"),0)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7</v>
      </c>
      <c r="K172" s="828">
        <f ca="1">IF(I172&gt;0,J172*100/I172,0)</f>
        <v>100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19590</v>
      </c>
      <c r="O173" s="715">
        <f t="shared" ref="O173:O181" ca="1" si="27">IF(L173&gt;0,N173*100/L173,0)</f>
        <v>100</v>
      </c>
      <c r="P173" s="715">
        <f t="shared" ref="P173:P181" ca="1" si="28">IF(M173&gt;0,N173*100/M173,0)</f>
        <v>100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19590</v>
      </c>
      <c r="O175" s="427">
        <f t="shared" ca="1" si="27"/>
        <v>100</v>
      </c>
      <c r="P175" s="427">
        <f t="shared" ca="1" si="28"/>
        <v>100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t="shared" ca="1" si="27"/>
        <v>100</v>
      </c>
      <c r="P176" s="427">
        <f t="shared" ca="1" si="28"/>
        <v>100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IFERROR(__xludf.DUMMYFUNCTION("IMPORTRANGE(""https://docs.google.com/spreadsheets/d/1-uDff_7J0KD5mKrp0Vvzr7lt3OU09vwQwhkpOPPYv2Y/edit?usp=sharing"",""งบพรบ!CK54"")"),19590)</f>
        <v>19590</v>
      </c>
      <c r="M178" s="427">
        <f ca="1">IFERROR(__xludf.DUMMYFUNCTION("IMPORTRANGE(""https://docs.google.com/spreadsheets/d/1-uDff_7J0KD5mKrp0Vvzr7lt3OU09vwQwhkpOPPYv2Y/edit?usp=sharing"",""งบพรบ!CP54"")"),19590)</f>
        <v>19590</v>
      </c>
      <c r="N178" s="427">
        <f ca="1">IFERROR(__xludf.DUMMYFUNCTION("IMPORTRANGE(""https://docs.google.com/spreadsheets/d/1-uDff_7J0KD5mKrp0Vvzr7lt3OU09vwQwhkpOPPYv2Y/edit?usp=sharing"",""งบพรบ!CR54"")"),19590)</f>
        <v>19590</v>
      </c>
      <c r="O178" s="427">
        <f t="shared" ca="1" si="27"/>
        <v>100</v>
      </c>
      <c r="P178" s="427">
        <f t="shared" ca="1" si="28"/>
        <v>100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IFERROR(__xludf.DUMMYFUNCTION("IMPORTRANGE(""https://docs.google.com/spreadsheets/d/1-uDff_7J0KD5mKrp0Vvzr7lt3OU09vwQwhkpOPPYv2Y/edit?usp=sharing"",""งบพรบ!CN54"")"),0)</f>
        <v>0</v>
      </c>
      <c r="M181" s="427">
        <f ca="1">IFERROR(__xludf.DUMMYFUNCTION("IMPORTRANGE(""https://docs.google.com/spreadsheets/d/1-uDff_7J0KD5mKrp0Vvzr7lt3OU09vwQwhkpOPPYv2Y/edit?usp=sharing"",""งบพรบ!CQ54"")"),0)</f>
        <v>0</v>
      </c>
      <c r="N181" s="427">
        <f ca="1">IFERROR(__xludf.DUMMYFUNCTION("IMPORTRANGE(""https://docs.google.com/spreadsheets/d/1-uDff_7J0KD5mKrp0Vvzr7lt3OU09vwQwhkpOPPYv2Y/edit?usp=sharing"",""งบพรบ!CS54"")"),0)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IFERROR(__xludf.DUMMYFUNCTION("IMPORTRANGE(""https://docs.google.com/spreadsheets/d/1eHaY18a8A9IcSdp1K8H6x8fbOy06t2VsZHhMHf-1x7Y/edit?usp=sharing"",""แผน!AA54"")"),7)</f>
        <v>7</v>
      </c>
      <c r="J183" s="736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10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263400</v>
      </c>
      <c r="M186" s="715">
        <f ca="1">M187+M188</f>
        <v>200700</v>
      </c>
      <c r="N186" s="715">
        <f ca="1">N187+N188</f>
        <v>60476.65</v>
      </c>
      <c r="O186" s="715">
        <f t="shared" ref="O186:O194" ca="1" si="30">IF(L186&gt;0,N186*100/L186,0)</f>
        <v>22.960003796507213</v>
      </c>
      <c r="P186" s="715">
        <f t="shared" ref="P186:P194" ca="1" si="31">IF(M186&gt;0,N186*100/M186,0)</f>
        <v>30.132859990034877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263400</v>
      </c>
      <c r="M188" s="427">
        <f t="shared" ca="1" si="32"/>
        <v>200700</v>
      </c>
      <c r="N188" s="427">
        <f t="shared" ca="1" si="32"/>
        <v>60476.65</v>
      </c>
      <c r="O188" s="427">
        <f t="shared" ca="1" si="30"/>
        <v>22.960003796507213</v>
      </c>
      <c r="P188" s="427">
        <f t="shared" ca="1" si="31"/>
        <v>30.132859990034877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263400</v>
      </c>
      <c r="M189" s="427">
        <f ca="1">M190+M191</f>
        <v>200700</v>
      </c>
      <c r="N189" s="427">
        <f ca="1">N190+N191</f>
        <v>60476.65</v>
      </c>
      <c r="O189" s="427">
        <f t="shared" ca="1" si="30"/>
        <v>22.960003796507213</v>
      </c>
      <c r="P189" s="427">
        <f t="shared" ca="1" si="31"/>
        <v>30.132859990034877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IFERROR(__xludf.DUMMYFUNCTION("IMPORTRANGE(""https://docs.google.com/spreadsheets/d/1-uDff_7J0KD5mKrp0Vvzr7lt3OU09vwQwhkpOPPYv2Y/edit?usp=sharing"",""งบพรบ!CU54"")"),263400)</f>
        <v>263400</v>
      </c>
      <c r="M191" s="427">
        <f ca="1">IFERROR(__xludf.DUMMYFUNCTION("IMPORTRANGE(""https://docs.google.com/spreadsheets/d/1-uDff_7J0KD5mKrp0Vvzr7lt3OU09vwQwhkpOPPYv2Y/edit?usp=sharing"",""งบพรบ!CZ54"")"),200700)</f>
        <v>200700</v>
      </c>
      <c r="N191" s="427">
        <f ca="1">IFERROR(__xludf.DUMMYFUNCTION("IMPORTRANGE(""https://docs.google.com/spreadsheets/d/1-uDff_7J0KD5mKrp0Vvzr7lt3OU09vwQwhkpOPPYv2Y/edit?usp=sharing"",""งบพรบ!DB54"")"),60476.65)</f>
        <v>60476.65</v>
      </c>
      <c r="O191" s="427">
        <f t="shared" ca="1" si="30"/>
        <v>22.960003796507213</v>
      </c>
      <c r="P191" s="427">
        <f t="shared" ca="1" si="31"/>
        <v>30.132859990034877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IFERROR(__xludf.DUMMYFUNCTION("IMPORTRANGE(""https://docs.google.com/spreadsheets/d/1-uDff_7J0KD5mKrp0Vvzr7lt3OU09vwQwhkpOPPYv2Y/edit?usp=sharing"",""งบพรบ!CX54"")"),0)</f>
        <v>0</v>
      </c>
      <c r="M194" s="427">
        <f ca="1">IFERROR(__xludf.DUMMYFUNCTION("IMPORTRANGE(""https://docs.google.com/spreadsheets/d/1-uDff_7J0KD5mKrp0Vvzr7lt3OU09vwQwhkpOPPYv2Y/edit?usp=sharing"",""งบพรบ!DA54"")"),0)</f>
        <v>0</v>
      </c>
      <c r="N194" s="427">
        <f ca="1">IFERROR(__xludf.DUMMYFUNCTION("IMPORTRANGE(""https://docs.google.com/spreadsheets/d/1-uDff_7J0KD5mKrp0Vvzr7lt3OU09vwQwhkpOPPYv2Y/edit?usp=sharing"",""งบพรบ!DC54"")"),0)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IFERROR(__xludf.DUMMYFUNCTION("IMPORTRANGE(""https://docs.google.com/spreadsheets/d/1eHaY18a8A9IcSdp1K8H6x8fbOy06t2VsZHhMHf-1x7Y/edit?usp=sharing"",""แผน!AB54"")"),6000)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IFERROR(__xludf.DUMMYFUNCTION("IMPORTRANGE(""https://docs.google.com/spreadsheets/d/1eHaY18a8A9IcSdp1K8H6x8fbOy06t2VsZHhMHf-1x7Y/edit?usp=sharing"",""แผน!AE54"")"),4)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80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80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8000</v>
      </c>
      <c r="O203" s="715">
        <f ca="1">IF(L203&gt;0,N203*100/L203,0)</f>
        <v>61.53846153846154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IFERROR(__xludf.DUMMYFUNCTION("IMPORTRANGE(""https://docs.google.com/spreadsheets/d/1eHaY18a8A9IcSdp1K8H6x8fbOy06t2VsZHhMHf-1x7Y/edit?usp=sharing"",""แผน!AG54"")"),1000)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IFERROR(__xludf.DUMMYFUNCTION("IMPORTRANGE(""https://docs.google.com/spreadsheets/d/1eHaY18a8A9IcSdp1K8H6x8fbOy06t2VsZHhMHf-1x7Y/edit?usp=sharing"",""แผน!AH54"")"),0)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IFERROR(__xludf.DUMMYFUNCTION("IMPORTRANGE(""https://docs.google.com/spreadsheets/d/1eHaY18a8A9IcSdp1K8H6x8fbOy06t2VsZHhMHf-1x7Y/edit?usp=sharing"",""แผน!AI54"")"),8000)</f>
        <v>8000</v>
      </c>
      <c r="M206" s="430"/>
      <c r="N206" s="818">
        <v>8000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IFERROR(__xludf.DUMMYFUNCTION("IMPORTRANGE(""https://docs.google.com/spreadsheets/d/1eHaY18a8A9IcSdp1K8H6x8fbOy06t2VsZHhMHf-1x7Y/edit?usp=sharing"",""แผน!AJ54"")"),4000)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IFERROR(__xludf.DUMMYFUNCTION("IMPORTRANGE(""https://docs.google.com/spreadsheets/d/1eHaY18a8A9IcSdp1K8H6x8fbOy06t2VsZHhMHf-1x7Y/edit?usp=sharing"",""แผน!AK54"")"),1)</f>
        <v>1</v>
      </c>
      <c r="J209" s="736">
        <v>1</v>
      </c>
      <c r="K209" s="767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IFERROR(__xludf.DUMMYFUNCTION("IMPORTRANGE(""https://docs.google.com/spreadsheets/d/1eHaY18a8A9IcSdp1K8H6x8fbOy06t2VsZHhMHf-1x7Y/edit?usp=sharing"",""แผน!JX54"")"),1)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IFERROR(__xludf.DUMMYFUNCTION("IMPORTRANGE(""https://docs.google.com/spreadsheets/d/1eHaY18a8A9IcSdp1K8H6x8fbOy06t2VsZHhMHf-1x7Y/edit?usp=sharing"",""แผน!JY54"")"),0)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1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14000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IFERROR(__xludf.DUMMYFUNCTION("IMPORTRANGE(""https://docs.google.com/spreadsheets/d/1eHaY18a8A9IcSdp1K8H6x8fbOy06t2VsZHhMHf-1x7Y/edit?usp=sharing"",""แผน!AM54"")"),1000)</f>
        <v>1000</v>
      </c>
      <c r="M215" s="430"/>
      <c r="N215" s="818">
        <v>0</v>
      </c>
      <c r="O215" s="678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IFERROR(__xludf.DUMMYFUNCTION("IMPORTRANGE(""https://docs.google.com/spreadsheets/d/1eHaY18a8A9IcSdp1K8H6x8fbOy06t2VsZHhMHf-1x7Y/edit?usp=sharing"",""แผน!AN54"")"),5000)</f>
        <v>5000</v>
      </c>
      <c r="M216" s="430"/>
      <c r="N216" s="818">
        <v>0</v>
      </c>
      <c r="O216" s="678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IFERROR(__xludf.DUMMYFUNCTION("IMPORTRANGE(""https://docs.google.com/spreadsheets/d/1eHaY18a8A9IcSdp1K8H6x8fbOy06t2VsZHhMHf-1x7Y/edit?usp=sharing"",""แผน!AO54"")"),8000)</f>
        <v>8000</v>
      </c>
      <c r="M217" s="430"/>
      <c r="N217" s="818">
        <v>0</v>
      </c>
      <c r="O217" s="678"/>
      <c r="P217" s="430"/>
    </row>
    <row r="218" spans="1:16" ht="19.5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IFERROR(__xludf.DUMMYFUNCTION("IMPORTRANGE(""https://docs.google.com/spreadsheets/d/1eHaY18a8A9IcSdp1K8H6x8fbOy06t2VsZHhMHf-1x7Y/edit?usp=sharing"",""แผน!AP54"")"),1)</f>
        <v>1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IFERROR(__xludf.DUMMYFUNCTION("IMPORTRANGE(""https://docs.google.com/spreadsheets/d/1eHaY18a8A9IcSdp1K8H6x8fbOy06t2VsZHhMHf-1x7Y/edit?usp=sharing"",""แผน!AP54"")"),1)</f>
        <v>1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12800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IFERROR(__xludf.DUMMYFUNCTION("IMPORTRANGE(""https://docs.google.com/spreadsheets/d/1eHaY18a8A9IcSdp1K8H6x8fbOy06t2VsZHhMHf-1x7Y/edit?usp=sharing"",""แผน!AR54"")"),3000)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IFERROR(__xludf.DUMMYFUNCTION("IMPORTRANGE(""https://docs.google.com/spreadsheets/d/1eHaY18a8A9IcSdp1K8H6x8fbOy06t2VsZHhMHf-1x7Y/edit?usp=sharing"",""แผน!AS54"")"),1500)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IFERROR(__xludf.DUMMYFUNCTION("IMPORTRANGE(""https://docs.google.com/spreadsheets/d/1eHaY18a8A9IcSdp1K8H6x8fbOy06t2VsZHhMHf-1x7Y/edit?usp=sharing"",""แผน!AT54"")"),0)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IFERROR(__xludf.DUMMYFUNCTION("IMPORTRANGE(""https://docs.google.com/spreadsheets/d/1eHaY18a8A9IcSdp1K8H6x8fbOy06t2VsZHhMHf-1x7Y/edit?usp=sharing"",""แผน!AV54"")"),12800)</f>
        <v>12800</v>
      </c>
      <c r="J228" s="736">
        <v>12800</v>
      </c>
      <c r="K228" s="767">
        <f ca="1">IF(I228&gt;0,J228*100/I228,0)</f>
        <v>100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IFERROR(__xludf.DUMMYFUNCTION("IMPORTRANGE(""https://docs.google.com/spreadsheets/d/1eHaY18a8A9IcSdp1K8H6x8fbOy06t2VsZHhMHf-1x7Y/edit?usp=sharing"",""แผน!AV54"")"),12800)</f>
        <v>12800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IFERROR(__xludf.DUMMYFUNCTION("IMPORTRANGE(""https://docs.google.com/spreadsheets/d/1eHaY18a8A9IcSdp1K8H6x8fbOy06t2VsZHhMHf-1x7Y/edit?usp=sharing"",""แผน!AU54"")"),0)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10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57700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27700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20000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10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10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160</v>
      </c>
      <c r="D242" s="284"/>
      <c r="E242" s="284"/>
      <c r="F242" s="284"/>
      <c r="G242" s="285"/>
      <c r="H242" s="286" t="s">
        <v>33</v>
      </c>
      <c r="I242" s="287">
        <f ca="1">I249</f>
        <v>10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57700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IFERROR(__xludf.DUMMYFUNCTION("IMPORTRANGE(""https://docs.google.com/spreadsheets/d/1eHaY18a8A9IcSdp1K8H6x8fbOy06t2VsZHhMHf-1x7Y/edit?usp=sharing"",""แผน!AX54"")"),8000)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IFERROR(__xludf.DUMMYFUNCTION("IMPORTRANGE(""https://docs.google.com/spreadsheets/d/1eHaY18a8A9IcSdp1K8H6x8fbOy06t2VsZHhMHf-1x7Y/edit?usp=sharing"",""แผน!AY54"")"),2000)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IFERROR(__xludf.DUMMYFUNCTION("IMPORTRANGE(""https://docs.google.com/spreadsheets/d/1eHaY18a8A9IcSdp1K8H6x8fbOy06t2VsZHhMHf-1x7Y/edit?usp=sharing"",""แผน!AZ54"")"),27700)</f>
        <v>27700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IFERROR(__xludf.DUMMYFUNCTION("IMPORTRANGE(""https://docs.google.com/spreadsheets/d/1eHaY18a8A9IcSdp1K8H6x8fbOy06t2VsZHhMHf-1x7Y/edit?usp=sharing"",""แผน!BA54"")"),20000)</f>
        <v>20000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IFERROR(__xludf.DUMMYFUNCTION("IMPORTRANGE(""https://docs.google.com/spreadsheets/d/1eHaY18a8A9IcSdp1K8H6x8fbOy06t2VsZHhMHf-1x7Y/edit?usp=sharing"",""แผน!BG54"")"),10)</f>
        <v>10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IFERROR(__xludf.DUMMYFUNCTION("IMPORTRANGE(""https://docs.google.com/spreadsheets/d/1eHaY18a8A9IcSdp1K8H6x8fbOy06t2VsZHhMHf-1x7Y/edit?usp=sharing"",""แผน!KD54"")"),10)</f>
        <v>10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IFERROR(__xludf.DUMMYFUNCTION("IMPORTRANGE(""https://docs.google.com/spreadsheets/d/1eHaY18a8A9IcSdp1K8H6x8fbOy06t2VsZHhMHf-1x7Y/edit?usp=sharing"",""แผน!KE54"")"),1)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IFERROR(__xludf.DUMMYFUNCTION("IMPORTRANGE(""https://docs.google.com/spreadsheets/d/1eHaY18a8A9IcSdp1K8H6x8fbOy06t2VsZHhMHf-1x7Y/edit?usp=sharing"",""แผน!BB54"")"),0)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IFERROR(__xludf.DUMMYFUNCTION("IMPORTRANGE(""https://docs.google.com/spreadsheets/d/1eHaY18a8A9IcSdp1K8H6x8fbOy06t2VsZHhMHf-1x7Y/edit?usp=sharing"",""แผน!BC54"")"),0)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IFERROR(__xludf.DUMMYFUNCTION("IMPORTRANGE(""https://docs.google.com/spreadsheets/d/1eHaY18a8A9IcSdp1K8H6x8fbOy06t2VsZHhMHf-1x7Y/edit?usp=sharing"",""แผน!BD54"")"),0)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IFERROR(__xludf.DUMMYFUNCTION("IMPORTRANGE(""https://docs.google.com/spreadsheets/d/1eHaY18a8A9IcSdp1K8H6x8fbOy06t2VsZHhMHf-1x7Y/edit?usp=sharing"",""แผน!BE54"")"),0)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IFERROR(__xludf.DUMMYFUNCTION("IMPORTRANGE(""https://docs.google.com/spreadsheets/d/1eHaY18a8A9IcSdp1K8H6x8fbOy06t2VsZHhMHf-1x7Y/edit?usp=sharing"",""แผน!BH54"")"),0)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IFERROR(__xludf.DUMMYFUNCTION("IMPORTRANGE(""https://docs.google.com/spreadsheets/d/1-uDff_7J0KD5mKrp0Vvzr7lt3OU09vwQwhkpOPPYv2Y/edit?usp=sharing"",""งบพรบ!DE54"")"),0)</f>
        <v>0</v>
      </c>
      <c r="M271" s="502">
        <f ca="1">IFERROR(__xludf.DUMMYFUNCTION("IMPORTRANGE(""https://docs.google.com/spreadsheets/d/1-uDff_7J0KD5mKrp0Vvzr7lt3OU09vwQwhkpOPPYv2Y/edit?usp=sharing"",""งบพรบ!DJ54"")"),0)</f>
        <v>0</v>
      </c>
      <c r="N271" s="502">
        <f ca="1">IFERROR(__xludf.DUMMYFUNCTION("IMPORTRANGE(""https://docs.google.com/spreadsheets/d/1-uDff_7J0KD5mKrp0Vvzr7lt3OU09vwQwhkpOPPYv2Y/edit?usp=sharing"",""งบพรบ!DL54"")"),0)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IFERROR(__xludf.DUMMYFUNCTION("IMPORTRANGE(""https://docs.google.com/spreadsheets/d/1-uDff_7J0KD5mKrp0Vvzr7lt3OU09vwQwhkpOPPYv2Y/edit?usp=sharing"",""งบพรบ!DH54"")"),0)</f>
        <v>0</v>
      </c>
      <c r="M274" s="502">
        <f ca="1">IFERROR(__xludf.DUMMYFUNCTION("IMPORTRANGE(""https://docs.google.com/spreadsheets/d/1-uDff_7J0KD5mKrp0Vvzr7lt3OU09vwQwhkpOPPYv2Y/edit?usp=sharing"",""งบพรบ!DK54"")"),0)</f>
        <v>0</v>
      </c>
      <c r="N274" s="502">
        <f ca="1">IFERROR(__xludf.DUMMYFUNCTION("IMPORTRANGE(""https://docs.google.com/spreadsheets/d/1-uDff_7J0KD5mKrp0Vvzr7lt3OU09vwQwhkpOPPYv2Y/edit?usp=sharing"",""งบพรบ!DM54"")"),0)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IFERROR(__xludf.DUMMYFUNCTION("IMPORTRANGE(""https://docs.google.com/spreadsheets/d/1-uDff_7J0KD5mKrp0Vvzr7lt3OU09vwQwhkpOPPYv2Y/edit?usp=sharing"",""งบพรบ!DO54"")"),0)</f>
        <v>0</v>
      </c>
      <c r="M287" s="427">
        <f ca="1">IFERROR(__xludf.DUMMYFUNCTION("IMPORTRANGE(""https://docs.google.com/spreadsheets/d/1-uDff_7J0KD5mKrp0Vvzr7lt3OU09vwQwhkpOPPYv2Y/edit?usp=sharing"",""งบพรบ!DT54"")"),0)</f>
        <v>0</v>
      </c>
      <c r="N287" s="427">
        <f ca="1">IFERROR(__xludf.DUMMYFUNCTION("IMPORTRANGE(""https://docs.google.com/spreadsheets/d/1-uDff_7J0KD5mKrp0Vvzr7lt3OU09vwQwhkpOPPYv2Y/edit?usp=sharing"",""งบพรบ!DV54"")"),0)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IFERROR(__xludf.DUMMYFUNCTION("IMPORTRANGE(""https://docs.google.com/spreadsheets/d/1-uDff_7J0KD5mKrp0Vvzr7lt3OU09vwQwhkpOPPYv2Y/edit?usp=sharing"",""งบพรบ!DR54"")"),0)</f>
        <v>0</v>
      </c>
      <c r="M290" s="427">
        <f ca="1">IFERROR(__xludf.DUMMYFUNCTION("IMPORTRANGE(""https://docs.google.com/spreadsheets/d/1-uDff_7J0KD5mKrp0Vvzr7lt3OU09vwQwhkpOPPYv2Y/edit?usp=sharing"",""งบพรบ!DU54"")"),0)</f>
        <v>0</v>
      </c>
      <c r="N290" s="427">
        <f ca="1">IFERROR(__xludf.DUMMYFUNCTION("IMPORTRANGE(""https://docs.google.com/spreadsheets/d/1-uDff_7J0KD5mKrp0Vvzr7lt3OU09vwQwhkpOPPYv2Y/edit?usp=sharing"",""งบพรบ!DW54"")"),0)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IFERROR(__xludf.DUMMYFUNCTION("IMPORTRANGE(""https://docs.google.com/spreadsheets/d/1eHaY18a8A9IcSdp1K8H6x8fbOy06t2VsZHhMHf-1x7Y/edit?usp=sharing"",""แผน!EE54"")"),0)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IFERROR(__xludf.DUMMYFUNCTION("IMPORTRANGE(""https://docs.google.com/spreadsheets/d/1eHaY18a8A9IcSdp1K8H6x8fbOy06t2VsZHhMHf-1x7Y/edit?usp=sharing"",""แผน!ED54"")"),0)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IFERROR(__xludf.DUMMYFUNCTION("IMPORTRANGE(""https://docs.google.com/spreadsheets/d/1eHaY18a8A9IcSdp1K8H6x8fbOy06t2VsZHhMHf-1x7Y/edit?usp=sharing"",""แผน!ED54"")"),0)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IFERROR(__xludf.DUMMYFUNCTION("IMPORTRANGE(""https://docs.google.com/spreadsheets/d/1eHaY18a8A9IcSdp1K8H6x8fbOy06t2VsZHhMHf-1x7Y/edit?usp=sharing"",""แผน!ED54"")"),0)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IFERROR(__xludf.DUMMYFUNCTION("IMPORTRANGE(""https://docs.google.com/spreadsheets/d/1-uDff_7J0KD5mKrp0Vvzr7lt3OU09vwQwhkpOPPYv2Y/edit?usp=sharing"",""งบพรบ!DY54"")"),0)</f>
        <v>0</v>
      </c>
      <c r="M308" s="427">
        <f ca="1">IFERROR(__xludf.DUMMYFUNCTION("IMPORTRANGE(""https://docs.google.com/spreadsheets/d/1-uDff_7J0KD5mKrp0Vvzr7lt3OU09vwQwhkpOPPYv2Y/edit?usp=sharing"",""งบพรบ!ED54"")"),0)</f>
        <v>0</v>
      </c>
      <c r="N308" s="427">
        <f ca="1">IFERROR(__xludf.DUMMYFUNCTION("IMPORTRANGE(""https://docs.google.com/spreadsheets/d/1-uDff_7J0KD5mKrp0Vvzr7lt3OU09vwQwhkpOPPYv2Y/edit?usp=sharing"",""งบพรบ!EF54"")"),0)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IFERROR(__xludf.DUMMYFUNCTION("IMPORTRANGE(""https://docs.google.com/spreadsheets/d/1-uDff_7J0KD5mKrp0Vvzr7lt3OU09vwQwhkpOPPYv2Y/edit?usp=sharing"",""งบพรบ!EB54"")"),0)</f>
        <v>0</v>
      </c>
      <c r="M311" s="427">
        <f ca="1">IFERROR(__xludf.DUMMYFUNCTION("IMPORTRANGE(""https://docs.google.com/spreadsheets/d/1-uDff_7J0KD5mKrp0Vvzr7lt3OU09vwQwhkpOPPYv2Y/edit?usp=sharing"",""งบพรบ!EE54"")"),0)</f>
        <v>0</v>
      </c>
      <c r="N311" s="427">
        <f ca="1">IFERROR(__xludf.DUMMYFUNCTION("IMPORTRANGE(""https://docs.google.com/spreadsheets/d/1-uDff_7J0KD5mKrp0Vvzr7lt3OU09vwQwhkpOPPYv2Y/edit?usp=sharing"",""งบพรบ!EG54"")"),0)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IFERROR(__xludf.DUMMYFUNCTION("IMPORTRANGE(""https://docs.google.com/spreadsheets/d/1eHaY18a8A9IcSdp1K8H6x8fbOy06t2VsZHhMHf-1x7Y/edit?usp=sharing"",""แผน!EF54"")"),0)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IFERROR(__xludf.DUMMYFUNCTION("IMPORTRANGE(""https://docs.google.com/spreadsheets/d/1eHaY18a8A9IcSdp1K8H6x8fbOy06t2VsZHhMHf-1x7Y/edit?usp=sharing"",""แผน!EG54"")"),0)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IFERROR(__xludf.DUMMYFUNCTION("IMPORTRANGE(""https://docs.google.com/spreadsheets/d/1eHaY18a8A9IcSdp1K8H6x8fbOy06t2VsZHhMHf-1x7Y/edit?usp=sharing"",""แผน!EH54"")"),0)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IFERROR(__xludf.DUMMYFUNCTION("IMPORTRANGE(""https://docs.google.com/spreadsheets/d/1eHaY18a8A9IcSdp1K8H6x8fbOy06t2VsZHhMHf-1x7Y/edit?usp=sharing"",""แผน!EI54"")"),0)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IFERROR(__xludf.DUMMYFUNCTION("IMPORTRANGE(""https://docs.google.com/spreadsheets/d/1-uDff_7J0KD5mKrp0Vvzr7lt3OU09vwQwhkpOPPYv2Y/edit?usp=sharing"",""งบพรบ!EI54"")"),0)</f>
        <v>0</v>
      </c>
      <c r="M325" s="427">
        <f ca="1">IFERROR(__xludf.DUMMYFUNCTION("IMPORTRANGE(""https://docs.google.com/spreadsheets/d/1-uDff_7J0KD5mKrp0Vvzr7lt3OU09vwQwhkpOPPYv2Y/edit?usp=sharing"",""งบพรบ!EN54"")"),0)</f>
        <v>0</v>
      </c>
      <c r="N325" s="427">
        <f ca="1">IFERROR(__xludf.DUMMYFUNCTION("IMPORTRANGE(""https://docs.google.com/spreadsheets/d/1-uDff_7J0KD5mKrp0Vvzr7lt3OU09vwQwhkpOPPYv2Y/edit?usp=sharing"",""งบพรบ!EP54"")"),0)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IFERROR(__xludf.DUMMYFUNCTION("IMPORTRANGE(""https://docs.google.com/spreadsheets/d/1-uDff_7J0KD5mKrp0Vvzr7lt3OU09vwQwhkpOPPYv2Y/edit?usp=sharing"",""งบพรบ!EL54"")"),0)</f>
        <v>0</v>
      </c>
      <c r="M328" s="427">
        <f ca="1">IFERROR(__xludf.DUMMYFUNCTION("IMPORTRANGE(""https://docs.google.com/spreadsheets/d/1-uDff_7J0KD5mKrp0Vvzr7lt3OU09vwQwhkpOPPYv2Y/edit?usp=sharing"",""งบพรบ!EO54"")"),0)</f>
        <v>0</v>
      </c>
      <c r="N328" s="427">
        <f ca="1">IFERROR(__xludf.DUMMYFUNCTION("IMPORTRANGE(""https://docs.google.com/spreadsheets/d/1-uDff_7J0KD5mKrp0Vvzr7lt3OU09vwQwhkpOPPYv2Y/edit?usp=sharing"",""งบพรบ!EQ54"")"),0)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IFERROR(__xludf.DUMMYFUNCTION("IMPORTRANGE(""https://docs.google.com/spreadsheets/d/1eHaY18a8A9IcSdp1K8H6x8fbOy06t2VsZHhMHf-1x7Y/edit?usp=sharing"",""แผน!EJ54"")"),0)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1060</v>
      </c>
      <c r="J332" s="404">
        <f ca="1">J344+J347+J348+J349+J353</f>
        <v>4610</v>
      </c>
      <c r="K332" s="405">
        <f ca="1">IF(I332&gt;0,J332*100/I332,0)</f>
        <v>434.90566037735852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108000</v>
      </c>
      <c r="M333" s="715">
        <f ca="1">M334+M335</f>
        <v>85750</v>
      </c>
      <c r="N333" s="715">
        <f ca="1">N334+N335</f>
        <v>31183.33</v>
      </c>
      <c r="O333" s="715">
        <f t="shared" ref="O333:O341" ca="1" si="45">IF(L333&gt;0,N333*100/L333,0)</f>
        <v>28.873453703703703</v>
      </c>
      <c r="P333" s="715">
        <f t="shared" ref="P333:P341" ca="1" si="46">IF(M333&gt;0,N333*100/M333,0)</f>
        <v>36.365399416909618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108000</v>
      </c>
      <c r="M335" s="427">
        <f t="shared" ca="1" si="47"/>
        <v>85750</v>
      </c>
      <c r="N335" s="427">
        <f t="shared" ca="1" si="47"/>
        <v>31183.33</v>
      </c>
      <c r="O335" s="427">
        <f t="shared" ca="1" si="45"/>
        <v>28.873453703703703</v>
      </c>
      <c r="P335" s="427">
        <f t="shared" ca="1" si="46"/>
        <v>36.365399416909618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108000</v>
      </c>
      <c r="M336" s="427">
        <f ca="1">M337+M338</f>
        <v>85750</v>
      </c>
      <c r="N336" s="427">
        <f ca="1">N337+N338</f>
        <v>31183.33</v>
      </c>
      <c r="O336" s="427">
        <f t="shared" ca="1" si="45"/>
        <v>28.873453703703703</v>
      </c>
      <c r="P336" s="427">
        <f t="shared" ca="1" si="46"/>
        <v>36.365399416909618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IFERROR(__xludf.DUMMYFUNCTION("IMPORTRANGE(""https://docs.google.com/spreadsheets/d/1-uDff_7J0KD5mKrp0Vvzr7lt3OU09vwQwhkpOPPYv2Y/edit?usp=sharing"",""งบพรบ!ES54"")"),108000)</f>
        <v>108000</v>
      </c>
      <c r="M338" s="427">
        <f ca="1">IFERROR(__xludf.DUMMYFUNCTION("IMPORTRANGE(""https://docs.google.com/spreadsheets/d/1-uDff_7J0KD5mKrp0Vvzr7lt3OU09vwQwhkpOPPYv2Y/edit?usp=sharing"",""งบพรบ!EX54"")"),85750)</f>
        <v>85750</v>
      </c>
      <c r="N338" s="427">
        <f ca="1">IFERROR(__xludf.DUMMYFUNCTION("IMPORTRANGE(""https://docs.google.com/spreadsheets/d/1-uDff_7J0KD5mKrp0Vvzr7lt3OU09vwQwhkpOPPYv2Y/edit?usp=sharing"",""งบพรบ!EZ54"")"),31183.33)</f>
        <v>31183.33</v>
      </c>
      <c r="O338" s="427">
        <f t="shared" ca="1" si="45"/>
        <v>28.873453703703703</v>
      </c>
      <c r="P338" s="427">
        <f t="shared" ca="1" si="46"/>
        <v>36.365399416909618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IFERROR(__xludf.DUMMYFUNCTION("IMPORTRANGE(""https://docs.google.com/spreadsheets/d/1-uDff_7J0KD5mKrp0Vvzr7lt3OU09vwQwhkpOPPYv2Y/edit?usp=sharing"",""งบพรบ!EV54"")"),0)</f>
        <v>0</v>
      </c>
      <c r="M341" s="427">
        <f ca="1">IFERROR(__xludf.DUMMYFUNCTION("IMPORTRANGE(""https://docs.google.com/spreadsheets/d/1-uDff_7J0KD5mKrp0Vvzr7lt3OU09vwQwhkpOPPYv2Y/edit?usp=sharing"",""งบพรบ!EY54"")"),0)</f>
        <v>0</v>
      </c>
      <c r="N341" s="427">
        <f ca="1">IFERROR(__xludf.DUMMYFUNCTION("IMPORTRANGE(""https://docs.google.com/spreadsheets/d/1-uDff_7J0KD5mKrp0Vvzr7lt3OU09vwQwhkpOPPYv2Y/edit?usp=sharing"",""งบพรบ!FA54"")"),0)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2982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IFERROR(__xludf.DUMMYFUNCTION("IMPORTRANGE(""https://docs.google.com/spreadsheets/d/1eHaY18a8A9IcSdp1K8H6x8fbOy06t2VsZHhMHf-1x7Y/edit?usp=sharing"",""แผน!EK54"")"),1060)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IFERROR(__xludf.DUMMYFUNCTION("IMPORTRANGE(""https://docs.google.com/spreadsheets/d/1awYsYK3VOup2i3Pq_Yjnu8DRu_mYwSBnCR2QPthd0rU/edit?usp=sharing"",""ศูนย์ยกเว้นโฉนด!D54"")"),1708)</f>
        <v>1708</v>
      </c>
      <c r="K344" s="427">
        <f ca="1">IF(I344&gt;0,J344*100/I344,0)</f>
        <v>161.1320754716981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IFERROR(__xludf.DUMMYFUNCTION("IMPORTRANGE(""https://docs.google.com/spreadsheets/d/1eHaY18a8A9IcSdp1K8H6x8fbOy06t2VsZHhMHf-1x7Y/edit?usp=sharing"",""แผน!EL54"")"),4)</f>
        <v>4</v>
      </c>
      <c r="J346" s="426">
        <f ca="1">IFERROR(__xludf.DUMMYFUNCTION("IMPORTRANGE(""https://docs.google.com/spreadsheets/d/1awYsYK3VOup2i3Pq_Yjnu8DRu_mYwSBnCR2QPthd0rU/edit?usp=sharing"",""ศูนย์รวม!E54"")"),0)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IFERROR(__xludf.DUMMYFUNCTION("IMPORTRANGE(""https://docs.google.com/spreadsheets/d/1awYsYK3VOup2i3Pq_Yjnu8DRu_mYwSBnCR2QPthd0rU/edit?usp=sharing"",""ศูนย์ยกเว้นโฉนด!F54"")"),214)</f>
        <v>214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IFERROR(__xludf.DUMMYFUNCTION("IMPORTRANGE(""https://docs.google.com/spreadsheets/d/1awYsYK3VOup2i3Pq_Yjnu8DRu_mYwSBnCR2QPthd0rU/edit?usp=sharing"",""ศูนย์ยกเว้นโฉนด!G54"")"),1060)</f>
        <v>1060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1647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IFERROR(__xludf.DUMMYFUNCTION("IMPORTRANGE(""https://docs.google.com/spreadsheets/d/1awYsYK3VOup2i3Pq_Yjnu8DRu_mYwSBnCR2QPthd0rU/edit?usp=sharing"",""โฉนดM3!G54"")"),19)</f>
        <v>19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IFERROR(__xludf.DUMMYFUNCTION("IMPORTRANGE(""https://docs.google.com/spreadsheets/d/1awYsYK3VOup2i3Pq_Yjnu8DRu_mYwSBnCR2QPthd0rU/edit?usp=sharing"",""โฉนดM3!H54"")"),1628)</f>
        <v>1628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440405</v>
      </c>
      <c r="M356" s="715">
        <f ca="1">M357+M358</f>
        <v>342805</v>
      </c>
      <c r="N356" s="715">
        <f ca="1">N357+N358</f>
        <v>151329.96</v>
      </c>
      <c r="O356" s="715">
        <f t="shared" ref="O356:O364" ca="1" si="48">IF(L356&gt;0,N356*100/L356,0)</f>
        <v>34.361544487460407</v>
      </c>
      <c r="P356" s="715">
        <f t="shared" ref="P356:P364" ca="1" si="49">IF(M356&gt;0,N356*100/M356,0)</f>
        <v>44.144618660754659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440405</v>
      </c>
      <c r="M358" s="427">
        <f t="shared" ca="1" si="50"/>
        <v>342805</v>
      </c>
      <c r="N358" s="427">
        <f t="shared" ca="1" si="50"/>
        <v>151329.96</v>
      </c>
      <c r="O358" s="427">
        <f t="shared" ca="1" si="48"/>
        <v>34.361544487460407</v>
      </c>
      <c r="P358" s="427">
        <f t="shared" ca="1" si="49"/>
        <v>44.144618660754659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440405</v>
      </c>
      <c r="M359" s="427">
        <f ca="1">M360+M361</f>
        <v>342805</v>
      </c>
      <c r="N359" s="427">
        <f ca="1">N360+N361</f>
        <v>151329.96</v>
      </c>
      <c r="O359" s="427">
        <f t="shared" ca="1" si="48"/>
        <v>34.361544487460407</v>
      </c>
      <c r="P359" s="427">
        <f t="shared" ca="1" si="49"/>
        <v>44.144618660754659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IFERROR(__xludf.DUMMYFUNCTION("IMPORTRANGE(""https://docs.google.com/spreadsheets/d/1-uDff_7J0KD5mKrp0Vvzr7lt3OU09vwQwhkpOPPYv2Y/edit?usp=sharing"",""งบพรบ!FC54"")"),440405)</f>
        <v>440405</v>
      </c>
      <c r="M361" s="427">
        <f ca="1">IFERROR(__xludf.DUMMYFUNCTION("IMPORTRANGE(""https://docs.google.com/spreadsheets/d/1-uDff_7J0KD5mKrp0Vvzr7lt3OU09vwQwhkpOPPYv2Y/edit?usp=sharing"",""งบพรบ!FH54"")"),342805)</f>
        <v>342805</v>
      </c>
      <c r="N361" s="427">
        <f ca="1">IFERROR(__xludf.DUMMYFUNCTION("IMPORTRANGE(""https://docs.google.com/spreadsheets/d/1-uDff_7J0KD5mKrp0Vvzr7lt3OU09vwQwhkpOPPYv2Y/edit?usp=sharing"",""งบพรบ!FJ54"")"),151329.96)</f>
        <v>151329.96</v>
      </c>
      <c r="O361" s="427">
        <f t="shared" ca="1" si="48"/>
        <v>34.361544487460407</v>
      </c>
      <c r="P361" s="427">
        <f t="shared" ca="1" si="49"/>
        <v>44.144618660754659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IFERROR(__xludf.DUMMYFUNCTION("IMPORTRANGE(""https://docs.google.com/spreadsheets/d/1-uDff_7J0KD5mKrp0Vvzr7lt3OU09vwQwhkpOPPYv2Y/edit?usp=sharing"",""งบพรบ!FF54"")"),0)</f>
        <v>0</v>
      </c>
      <c r="M364" s="427">
        <f ca="1">IFERROR(__xludf.DUMMYFUNCTION("IMPORTRANGE(""https://docs.google.com/spreadsheets/d/1-uDff_7J0KD5mKrp0Vvzr7lt3OU09vwQwhkpOPPYv2Y/edit?usp=sharing"",""งบพรบ!FI54"")"),0)</f>
        <v>0</v>
      </c>
      <c r="N364" s="427">
        <f ca="1">IFERROR(__xludf.DUMMYFUNCTION("IMPORTRANGE(""https://docs.google.com/spreadsheets/d/1-uDff_7J0KD5mKrp0Vvzr7lt3OU09vwQwhkpOPPYv2Y/edit?usp=sharing"",""งบพรบ!FK54"")"),0)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79</v>
      </c>
      <c r="J365" s="440">
        <f ca="1">J371</f>
        <v>9</v>
      </c>
      <c r="K365" s="441">
        <f ca="1">IF(I365&gt;0,J365*100/I365,0)</f>
        <v>11.39240506329114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IFERROR(__xludf.DUMMYFUNCTION("IMPORTRANGE(""https://docs.google.com/spreadsheets/d/1tdoBKaGub7dwA3U6UFTqxio9LNnvDCQjHKmttSEBsFQ/edit?usp=sharing"",""จัดที่ดิน!AB54"")"),40)</f>
        <v>40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IFERROR(__xludf.DUMMYFUNCTION("IMPORTRANGE(""https://docs.google.com/spreadsheets/d/1eHaY18a8A9IcSdp1K8H6x8fbOy06t2VsZHhMHf-1x7Y/edit?usp=sharing"",""แผน!EW54"")"),730)</f>
        <v>730</v>
      </c>
      <c r="J368" s="704">
        <f ca="1">IFERROR(__xludf.DUMMYFUNCTION("IMPORTRANGE(""https://docs.google.com/spreadsheets/d/1tdoBKaGub7dwA3U6UFTqxio9LNnvDCQjHKmttSEBsFQ/edit?usp=sharing"",""จัดที่ดิน!AC54"")"),439.4)</f>
        <v>439.4</v>
      </c>
      <c r="K368" s="427">
        <f t="shared" ca="1" si="51"/>
        <v>60.19178082191781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IFERROR(__xludf.DUMMYFUNCTION("IMPORTRANGE(""https://docs.google.com/spreadsheets/d/1eHaY18a8A9IcSdp1K8H6x8fbOy06t2VsZHhMHf-1x7Y/edit?usp=sharing"",""แผน!EX54"")"),119)</f>
        <v>119</v>
      </c>
      <c r="J369" s="426">
        <f ca="1">IFERROR(__xludf.DUMMYFUNCTION("IMPORTRANGE(""https://docs.google.com/spreadsheets/d/1tdoBKaGub7dwA3U6UFTqxio9LNnvDCQjHKmttSEBsFQ/edit?usp=sharing"",""จัดที่ดิน!AD54"")"),22)</f>
        <v>22</v>
      </c>
      <c r="K369" s="427">
        <f t="shared" ca="1" si="51"/>
        <v>18.487394957983192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IFERROR(__xludf.DUMMYFUNCTION("IMPORTRANGE(""https://docs.google.com/spreadsheets/d/1tdoBKaGub7dwA3U6UFTqxio9LNnvDCQjHKmttSEBsFQ/edit?usp=sharing"",""จัดที่ดิน!AE54"")"),282.85)</f>
        <v>282.85000000000002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IFERROR(__xludf.DUMMYFUNCTION("IMPORTRANGE(""https://docs.google.com/spreadsheets/d/1eHaY18a8A9IcSdp1K8H6x8fbOy06t2VsZHhMHf-1x7Y/edit?usp=sharing"",""แผน!EY54"")"),79)</f>
        <v>79</v>
      </c>
      <c r="J371" s="426">
        <f ca="1">IFERROR(__xludf.DUMMYFUNCTION("IMPORTRANGE(""https://docs.google.com/spreadsheets/d/1tdoBKaGub7dwA3U6UFTqxio9LNnvDCQjHKmttSEBsFQ/edit?usp=sharing"",""จัดที่ดิน!AF54"")"),9)</f>
        <v>9</v>
      </c>
      <c r="K371" s="427">
        <f t="shared" ca="1" si="51"/>
        <v>11.39240506329114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IFERROR(__xludf.DUMMYFUNCTION("IMPORTRANGE(""https://docs.google.com/spreadsheets/d/1tdoBKaGub7dwA3U6UFTqxio9LNnvDCQjHKmttSEBsFQ/edit?usp=sharing"",""จัดที่ดิน!AG54"")"),75.38)</f>
        <v>75.38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IFERROR(__xludf.DUMMYFUNCTION("IMPORTRANGE(""https://docs.google.com/spreadsheets/d/1-uDff_7J0KD5mKrp0Vvzr7lt3OU09vwQwhkpOPPYv2Y/edit?usp=sharing"",""งบพรบ!FM54"")"),0)</f>
        <v>0</v>
      </c>
      <c r="M382" s="502">
        <f ca="1">IFERROR(__xludf.DUMMYFUNCTION("IMPORTRANGE(""https://docs.google.com/spreadsheets/d/1-uDff_7J0KD5mKrp0Vvzr7lt3OU09vwQwhkpOPPYv2Y/edit?usp=sharing"",""งบพรบ!FR54"")"),0)</f>
        <v>0</v>
      </c>
      <c r="N382" s="502">
        <f ca="1">IFERROR(__xludf.DUMMYFUNCTION("IMPORTRANGE(""https://docs.google.com/spreadsheets/d/1-uDff_7J0KD5mKrp0Vvzr7lt3OU09vwQwhkpOPPYv2Y/edit?usp=sharing"",""งบพรบ!FT54"")"),0)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IFERROR(__xludf.DUMMYFUNCTION("IMPORTRANGE(""https://docs.google.com/spreadsheets/d/1-uDff_7J0KD5mKrp0Vvzr7lt3OU09vwQwhkpOPPYv2Y/edit?usp=sharing"",""งบพรบ!FP54"")"),0)</f>
        <v>0</v>
      </c>
      <c r="M385" s="502">
        <f ca="1">IFERROR(__xludf.DUMMYFUNCTION("IMPORTRANGE(""https://docs.google.com/spreadsheets/d/1-uDff_7J0KD5mKrp0Vvzr7lt3OU09vwQwhkpOPPYv2Y/edit?usp=sharing"",""งบพรบ!FS54"")"),0)</f>
        <v>0</v>
      </c>
      <c r="N385" s="502">
        <f ca="1">IFERROR(__xludf.DUMMYFUNCTION("IMPORTRANGE(""https://docs.google.com/spreadsheets/d/1-uDff_7J0KD5mKrp0Vvzr7lt3OU09vwQwhkpOPPYv2Y/edit?usp=sharing"",""งบพรบ!FU54"")"),0)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4ABF-B585-484C-9F1C-4A5815D922DD}">
  <sheetPr>
    <outlinePr summaryBelow="0" summaryRight="0"/>
  </sheetPr>
  <dimension ref="A1:P596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2447761</v>
      </c>
      <c r="M18" s="843">
        <f ca="1">M19+M20</f>
        <v>2077452</v>
      </c>
      <c r="N18" s="843">
        <f ca="1">N19+N20</f>
        <v>833008.04</v>
      </c>
      <c r="O18" s="843">
        <f t="shared" ref="O18:O26" ca="1" si="0">IF(L18&gt;0,N18*100/L18,0)</f>
        <v>34.031428722003497</v>
      </c>
      <c r="P18" s="843">
        <f t="shared" ref="P18:P26" ca="1" si="1">IF(M18&gt;0,N18*100/M18,0)</f>
        <v>40.097583000714337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2447761</v>
      </c>
      <c r="M20" s="947">
        <f t="shared" ca="1" si="2"/>
        <v>2077452</v>
      </c>
      <c r="N20" s="947">
        <f t="shared" ca="1" si="2"/>
        <v>833008.04</v>
      </c>
      <c r="O20" s="947">
        <f t="shared" ca="1" si="0"/>
        <v>34.031428722003497</v>
      </c>
      <c r="P20" s="947">
        <f t="shared" ca="1" si="1"/>
        <v>40.097583000714337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2447761</v>
      </c>
      <c r="M21" s="427">
        <f ca="1">M22+M23</f>
        <v>2077452</v>
      </c>
      <c r="N21" s="427">
        <f ca="1">N22+N23</f>
        <v>833008.04</v>
      </c>
      <c r="O21" s="427">
        <f t="shared" ca="1" si="0"/>
        <v>34.031428722003497</v>
      </c>
      <c r="P21" s="427">
        <f t="shared" ca="1" si="1"/>
        <v>40.097583000714337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2447761</v>
      </c>
      <c r="M23" s="427">
        <f t="shared" ca="1" si="3"/>
        <v>2077452</v>
      </c>
      <c r="N23" s="427">
        <f t="shared" ca="1" si="3"/>
        <v>833008.04</v>
      </c>
      <c r="O23" s="427">
        <f t="shared" ca="1" si="0"/>
        <v>34.031428722003497</v>
      </c>
      <c r="P23" s="427">
        <f t="shared" ca="1" si="1"/>
        <v>40.097583000714337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2447761</v>
      </c>
      <c r="M40" s="940">
        <f ca="1">M44+M59+M72+M94+M125+M139+M157+M173+M186+M266+M282+M303+M320+M333+M356</f>
        <v>2077452</v>
      </c>
      <c r="N40" s="940">
        <f ca="1">N44+N59+N72+N94+N125+N139+N157+N173+N186+N266+N282+N303+N320+N333+N356</f>
        <v>833008.04</v>
      </c>
      <c r="O40" s="940">
        <f ca="1">IF(L40&gt;0,N40*100/L40,0)</f>
        <v>34.031428722003497</v>
      </c>
      <c r="P40" s="940">
        <f ca="1">IF(M40&gt;0,N40*100/M40,0)</f>
        <v>40.097583000714337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366416</v>
      </c>
      <c r="M44" s="925">
        <f ca="1">M45+M46</f>
        <v>379532</v>
      </c>
      <c r="N44" s="925">
        <f ca="1">N45+N46</f>
        <v>201488</v>
      </c>
      <c r="O44" s="925">
        <f t="shared" ref="O44:O52" ca="1" si="5">IF(L44&gt;0,N44*100/L44,0)</f>
        <v>54.988865115060477</v>
      </c>
      <c r="P44" s="925">
        <f t="shared" ref="P44:P52" ca="1" si="6">IF(M44&gt;0,N44*100/M44,0)</f>
        <v>53.088540623715524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366416</v>
      </c>
      <c r="M46" s="917">
        <f t="shared" ca="1" si="7"/>
        <v>379532</v>
      </c>
      <c r="N46" s="917">
        <f t="shared" ca="1" si="7"/>
        <v>201488</v>
      </c>
      <c r="O46" s="917">
        <f t="shared" ca="1" si="5"/>
        <v>54.988865115060477</v>
      </c>
      <c r="P46" s="917">
        <f t="shared" ca="1" si="6"/>
        <v>53.088540623715524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366416</v>
      </c>
      <c r="M47" s="427">
        <f ca="1">M48+M49</f>
        <v>379532</v>
      </c>
      <c r="N47" s="427">
        <f ca="1">N48+N49</f>
        <v>201488</v>
      </c>
      <c r="O47" s="427">
        <f t="shared" ca="1" si="5"/>
        <v>54.988865115060477</v>
      </c>
      <c r="P47" s="427">
        <f t="shared" ca="1" si="6"/>
        <v>53.088540623715524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IFERROR(__xludf.DUMMYFUNCTION("IMPORTRANGE(""https://docs.google.com/spreadsheets/d/1-uDff_7J0KD5mKrp0Vvzr7lt3OU09vwQwhkpOPPYv2Y/edit?usp=sharing"",""งบพรบ!P55"")"),366416)</f>
        <v>366416</v>
      </c>
      <c r="M49" s="427">
        <f ca="1">IFERROR(__xludf.DUMMYFUNCTION("IMPORTRANGE(""https://docs.google.com/spreadsheets/d/1-uDff_7J0KD5mKrp0Vvzr7lt3OU09vwQwhkpOPPYv2Y/edit?usp=sharing"",""งบพรบ!V55"")"),379532)</f>
        <v>379532</v>
      </c>
      <c r="N49" s="427">
        <f ca="1">IFERROR(__xludf.DUMMYFUNCTION("IMPORTRANGE(""https://docs.google.com/spreadsheets/d/1-uDff_7J0KD5mKrp0Vvzr7lt3OU09vwQwhkpOPPYv2Y/edit?usp=sharing"",""งบพรบ!Y55"")"),201488)</f>
        <v>201488</v>
      </c>
      <c r="O49" s="427">
        <f t="shared" ca="1" si="5"/>
        <v>54.988865115060477</v>
      </c>
      <c r="P49" s="427">
        <f t="shared" ca="1" si="6"/>
        <v>53.088540623715524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IFERROR(__xludf.DUMMYFUNCTION("IMPORTRANGE(""https://docs.google.com/spreadsheets/d/1-uDff_7J0KD5mKrp0Vvzr7lt3OU09vwQwhkpOPPYv2Y/edit?usp=sharing"",""งบพรบ!S55"")"),0)</f>
        <v>0</v>
      </c>
      <c r="M52" s="427">
        <f ca="1">IFERROR(__xludf.DUMMYFUNCTION("IMPORTRANGE(""https://docs.google.com/spreadsheets/d/1-uDff_7J0KD5mKrp0Vvzr7lt3OU09vwQwhkpOPPYv2Y/edit?usp=sharing"",""งบพรบ!W55"")"),0)</f>
        <v>0</v>
      </c>
      <c r="N52" s="427">
        <f ca="1">IFERROR(__xludf.DUMMYFUNCTION("IMPORTRANGE(""https://docs.google.com/spreadsheets/d/1-uDff_7J0KD5mKrp0Vvzr7lt3OU09vwQwhkpOPPYv2Y/edit?usp=sharing"",""งบพรบ!Z55"")"),0)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627100</v>
      </c>
      <c r="M59" s="899">
        <f ca="1">M60+M61</f>
        <v>472350</v>
      </c>
      <c r="N59" s="899">
        <f ca="1">N60+N61</f>
        <v>305000.69</v>
      </c>
      <c r="O59" s="899">
        <f t="shared" ref="O59:O67" ca="1" si="8">IF(L59&gt;0,N59*100/L59,0)</f>
        <v>48.636691117844045</v>
      </c>
      <c r="P59" s="899">
        <f t="shared" ref="P59:P67" ca="1" si="9">IF(M59&gt;0,N59*100/M59,0)</f>
        <v>64.570909283370383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627100</v>
      </c>
      <c r="M61" s="891">
        <f t="shared" ca="1" si="10"/>
        <v>472350</v>
      </c>
      <c r="N61" s="891">
        <f t="shared" ca="1" si="10"/>
        <v>305000.69</v>
      </c>
      <c r="O61" s="891">
        <f t="shared" ca="1" si="8"/>
        <v>48.636691117844045</v>
      </c>
      <c r="P61" s="891">
        <f t="shared" ca="1" si="9"/>
        <v>64.570909283370383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627100</v>
      </c>
      <c r="M62" s="427">
        <f ca="1">M63+M64</f>
        <v>472350</v>
      </c>
      <c r="N62" s="427">
        <f ca="1">N63+N64</f>
        <v>305000.69</v>
      </c>
      <c r="O62" s="427">
        <f t="shared" ca="1" si="8"/>
        <v>48.636691117844045</v>
      </c>
      <c r="P62" s="427">
        <f t="shared" ca="1" si="9"/>
        <v>64.570909283370383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IFERROR(__xludf.DUMMYFUNCTION("IMPORTRANGE(""https://docs.google.com/spreadsheets/d/1-uDff_7J0KD5mKrp0Vvzr7lt3OU09vwQwhkpOPPYv2Y/edit?usp=sharing"",""งบพรบ!AC55"")"),627100)</f>
        <v>627100</v>
      </c>
      <c r="M64" s="427">
        <f ca="1">IFERROR(__xludf.DUMMYFUNCTION("IMPORTRANGE(""https://docs.google.com/spreadsheets/d/1-uDff_7J0KD5mKrp0Vvzr7lt3OU09vwQwhkpOPPYv2Y/edit?usp=sharing"",""งบพรบ!AH55"")"),472350)</f>
        <v>472350</v>
      </c>
      <c r="N64" s="427">
        <f ca="1">IFERROR(__xludf.DUMMYFUNCTION("IMPORTRANGE(""https://docs.google.com/spreadsheets/d/1-uDff_7J0KD5mKrp0Vvzr7lt3OU09vwQwhkpOPPYv2Y/edit?usp=sharing"",""งบพรบ!AJ55"")"),305000.69)</f>
        <v>305000.69</v>
      </c>
      <c r="O64" s="427">
        <f t="shared" ca="1" si="8"/>
        <v>48.636691117844045</v>
      </c>
      <c r="P64" s="427">
        <f t="shared" ca="1" si="9"/>
        <v>64.570909283370383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IFERROR(__xludf.DUMMYFUNCTION("IMPORTRANGE(""https://docs.google.com/spreadsheets/d/1-uDff_7J0KD5mKrp0Vvzr7lt3OU09vwQwhkpOPPYv2Y/edit?usp=sharing"",""งบพรบ!AF55"")"),0)</f>
        <v>0</v>
      </c>
      <c r="M67" s="624">
        <f ca="1">IFERROR(__xludf.DUMMYFUNCTION("IMPORTRANGE(""https://docs.google.com/spreadsheets/d/1-uDff_7J0KD5mKrp0Vvzr7lt3OU09vwQwhkpOPPYv2Y/edit?usp=sharing"",""งบพรบ!AI55"")"),0)</f>
        <v>0</v>
      </c>
      <c r="N67" s="624">
        <f ca="1">IFERROR(__xludf.DUMMYFUNCTION("IMPORTRANGE(""https://docs.google.com/spreadsheets/d/1-uDff_7J0KD5mKrp0Vvzr7lt3OU09vwQwhkpOPPYv2Y/edit?usp=sharing"",""งบพรบ!AK55"")"),0)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IFERROR(__xludf.DUMMYFUNCTION("IMPORTRANGE(""https://docs.google.com/spreadsheets/d/1-uDff_7J0KD5mKrp0Vvzr7lt3OU09vwQwhkpOPPYv2Y/edit?usp=sharing"",""งบพรบ!AM55"")"),0)</f>
        <v>0</v>
      </c>
      <c r="M77" s="427">
        <f ca="1">IFERROR(__xludf.DUMMYFUNCTION("IMPORTRANGE(""https://docs.google.com/spreadsheets/d/1-uDff_7J0KD5mKrp0Vvzr7lt3OU09vwQwhkpOPPYv2Y/edit?usp=sharing"",""งบพรบ!AR55"")"),0)</f>
        <v>0</v>
      </c>
      <c r="N77" s="427">
        <f ca="1">IFERROR(__xludf.DUMMYFUNCTION("IMPORTRANGE(""https://docs.google.com/spreadsheets/d/1-uDff_7J0KD5mKrp0Vvzr7lt3OU09vwQwhkpOPPYv2Y/edit?usp=sharing"",""งบพรบ!AT55"")"),0)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IFERROR(__xludf.DUMMYFUNCTION("IMPORTRANGE(""https://docs.google.com/spreadsheets/d/1-uDff_7J0KD5mKrp0Vvzr7lt3OU09vwQwhkpOPPYv2Y/edit?usp=sharing"",""งบพรบ!AP55"")"),0)</f>
        <v>0</v>
      </c>
      <c r="M80" s="427">
        <f ca="1">IFERROR(__xludf.DUMMYFUNCTION("IMPORTRANGE(""https://docs.google.com/spreadsheets/d/1-uDff_7J0KD5mKrp0Vvzr7lt3OU09vwQwhkpOPPYv2Y/edit?usp=sharing"",""งบพรบ!AS55"")"),0)</f>
        <v>0</v>
      </c>
      <c r="N80" s="427">
        <f ca="1">IFERROR(__xludf.DUMMYFUNCTION("IMPORTRANGE(""https://docs.google.com/spreadsheets/d/1-uDff_7J0KD5mKrp0Vvzr7lt3OU09vwQwhkpOPPYv2Y/edit?usp=sharing"",""งบพรบ!AU55"")"),0)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IFERROR(__xludf.DUMMYFUNCTION("IMPORTRANGE(""https://docs.google.com/spreadsheets/d/1eHaY18a8A9IcSdp1K8H6x8fbOy06t2VsZHhMHf-1x7Y/edit?usp=sharing"",""แผน!H55"")"),0)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IFERROR(__xludf.DUMMYFUNCTION("IMPORTRANGE(""https://docs.google.com/spreadsheets/d/1eHaY18a8A9IcSdp1K8H6x8fbOy06t2VsZHhMHf-1x7Y/edit?usp=sharing"",""แผน!I55"")"),0)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IFERROR(__xludf.DUMMYFUNCTION("IMPORTRANGE(""https://docs.google.com/spreadsheets/d/1eHaY18a8A9IcSdp1K8H6x8fbOy06t2VsZHhMHf-1x7Y/edit?usp=sharing"",""แผน!F55"")"),0)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IFERROR(__xludf.DUMMYFUNCTION("IMPORTRANGE(""https://docs.google.com/spreadsheets/d/1eHaY18a8A9IcSdp1K8H6x8fbOy06t2VsZHhMHf-1x7Y/edit?usp=sharing"",""แผน!G55"")"),0)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IFERROR(__xludf.DUMMYFUNCTION("IMPORTRANGE(""https://docs.google.com/spreadsheets/d/1eHaY18a8A9IcSdp1K8H6x8fbOy06t2VsZHhMHf-1x7Y/edit?usp=sharing"",""แผน!D55"")"),0)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IFERROR(__xludf.DUMMYFUNCTION("IMPORTRANGE(""https://docs.google.com/spreadsheets/d/1eHaY18a8A9IcSdp1K8H6x8fbOy06t2VsZHhMHf-1x7Y/edit?usp=sharing"",""แผน!E55"")"),0)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IFERROR(__xludf.DUMMYFUNCTION("IMPORTRANGE(""https://docs.google.com/spreadsheets/d/1eHaY18a8A9IcSdp1K8H6x8fbOy06t2VsZHhMHf-1x7Y/edit?usp=sharing"",""แผน!J55"")"),0)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IFERROR(__xludf.DUMMYFUNCTION("IMPORTRANGE(""https://docs.google.com/spreadsheets/d/1-uDff_7J0KD5mKrp0Vvzr7lt3OU09vwQwhkpOPPYv2Y/edit?usp=sharing"",""งบพรบ!AW55"")"),0)</f>
        <v>0</v>
      </c>
      <c r="M99" s="427">
        <f ca="1">IFERROR(__xludf.DUMMYFUNCTION("IMPORTRANGE(""https://docs.google.com/spreadsheets/d/1-uDff_7J0KD5mKrp0Vvzr7lt3OU09vwQwhkpOPPYv2Y/edit?usp=sharing"",""งบพรบ!BB55"")"),0)</f>
        <v>0</v>
      </c>
      <c r="N99" s="427">
        <f ca="1">IFERROR(__xludf.DUMMYFUNCTION("IMPORTRANGE(""https://docs.google.com/spreadsheets/d/1-uDff_7J0KD5mKrp0Vvzr7lt3OU09vwQwhkpOPPYv2Y/edit?usp=sharing"",""งบพรบ!BD55"")"),0)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IFERROR(__xludf.DUMMYFUNCTION("IMPORTRANGE(""https://docs.google.com/spreadsheets/d/1-uDff_7J0KD5mKrp0Vvzr7lt3OU09vwQwhkpOPPYv2Y/edit?usp=sharing"",""งบพรบ!AZ55"")"),0)</f>
        <v>0</v>
      </c>
      <c r="M102" s="427">
        <f ca="1">IFERROR(__xludf.DUMMYFUNCTION("IMPORTRANGE(""https://docs.google.com/spreadsheets/d/1-uDff_7J0KD5mKrp0Vvzr7lt3OU09vwQwhkpOPPYv2Y/edit?usp=sharing"",""งบพรบ!BC55"")"),0)</f>
        <v>0</v>
      </c>
      <c r="N102" s="427">
        <f ca="1">IFERROR(__xludf.DUMMYFUNCTION("IMPORTRANGE(""https://docs.google.com/spreadsheets/d/1-uDff_7J0KD5mKrp0Vvzr7lt3OU09vwQwhkpOPPYv2Y/edit?usp=sharing"",""งบพรบ!BE55"")"),0)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IFERROR(__xludf.DUMMYFUNCTION("IMPORTRANGE(""https://docs.google.com/spreadsheets/d/1eHaY18a8A9IcSdp1K8H6x8fbOy06t2VsZHhMHf-1x7Y/edit?usp=sharing"",""แผน!N55"")"),0)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IFERROR(__xludf.DUMMYFUNCTION("IMPORTRANGE(""https://docs.google.com/spreadsheets/d/1eHaY18a8A9IcSdp1K8H6x8fbOy06t2VsZHhMHf-1x7Y/edit?usp=sharing"",""แผน!O55"")"),0)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IFERROR(__xludf.DUMMYFUNCTION("IMPORTRANGE(""https://docs.google.com/spreadsheets/d/1eHaY18a8A9IcSdp1K8H6x8fbOy06t2VsZHhMHf-1x7Y/edit?usp=sharing"",""แผน!R55"")"),0)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IFERROR(__xludf.DUMMYFUNCTION("IMPORTRANGE(""https://docs.google.com/spreadsheets/d/1-uDff_7J0KD5mKrp0Vvzr7lt3OU09vwQwhkpOPPYv2Y/edit?usp=sharing"",""งบพรบ!BG55"")"),0)</f>
        <v>0</v>
      </c>
      <c r="M130" s="864">
        <f ca="1">IFERROR(__xludf.DUMMYFUNCTION("IMPORTRANGE(""https://docs.google.com/spreadsheets/d/1-uDff_7J0KD5mKrp0Vvzr7lt3OU09vwQwhkpOPPYv2Y/edit?usp=sharing"",""งบพรบ!BL55"")"),0)</f>
        <v>0</v>
      </c>
      <c r="N130" s="864">
        <f ca="1">IFERROR(__xludf.DUMMYFUNCTION("IMPORTRANGE(""https://docs.google.com/spreadsheets/d/1-uDff_7J0KD5mKrp0Vvzr7lt3OU09vwQwhkpOPPYv2Y/edit?usp=sharing"",""งบพรบ!BN55"")"),0)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IFERROR(__xludf.DUMMYFUNCTION("IMPORTRANGE(""https://docs.google.com/spreadsheets/d/1-uDff_7J0KD5mKrp0Vvzr7lt3OU09vwQwhkpOPPYv2Y/edit?usp=sharing"",""งบพรบ!BJ55"")"),0)</f>
        <v>0</v>
      </c>
      <c r="M133" s="864">
        <f ca="1">IFERROR(__xludf.DUMMYFUNCTION("IMPORTRANGE(""https://docs.google.com/spreadsheets/d/1-uDff_7J0KD5mKrp0Vvzr7lt3OU09vwQwhkpOPPYv2Y/edit?usp=sharing"",""งบพรบ!BM55"")"),0)</f>
        <v>0</v>
      </c>
      <c r="N133" s="864">
        <f ca="1">IFERROR(__xludf.DUMMYFUNCTION("IMPORTRANGE(""https://docs.google.com/spreadsheets/d/1-uDff_7J0KD5mKrp0Vvzr7lt3OU09vwQwhkpOPPYv2Y/edit?usp=sharing"",""งบพรบ!BO55"")"),0)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3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50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5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170500</v>
      </c>
      <c r="M139" s="715">
        <f ca="1">M140+M141</f>
        <v>142900</v>
      </c>
      <c r="N139" s="715">
        <f ca="1">N140+N141</f>
        <v>25006</v>
      </c>
      <c r="O139" s="715">
        <f t="shared" ref="O139:O147" ca="1" si="21">IF(L139&gt;0,N139*100/L139,0)</f>
        <v>14.666275659824047</v>
      </c>
      <c r="P139" s="715">
        <f t="shared" ref="P139:P147" ca="1" si="22">IF(M139&gt;0,N139*100/M139,0)</f>
        <v>17.498950314905528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170500</v>
      </c>
      <c r="M141" s="427">
        <f t="shared" ca="1" si="23"/>
        <v>142900</v>
      </c>
      <c r="N141" s="427">
        <f t="shared" ca="1" si="23"/>
        <v>25006</v>
      </c>
      <c r="O141" s="427">
        <f t="shared" ca="1" si="21"/>
        <v>14.666275659824047</v>
      </c>
      <c r="P141" s="427">
        <f t="shared" ca="1" si="22"/>
        <v>17.498950314905528</v>
      </c>
    </row>
    <row r="142" spans="1:16" ht="18.75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170500</v>
      </c>
      <c r="M142" s="427">
        <f ca="1">M143+M144</f>
        <v>142900</v>
      </c>
      <c r="N142" s="427">
        <f ca="1">N143+N144</f>
        <v>25006</v>
      </c>
      <c r="O142" s="427">
        <f t="shared" ca="1" si="21"/>
        <v>14.666275659824047</v>
      </c>
      <c r="P142" s="427">
        <f t="shared" ca="1" si="22"/>
        <v>17.498950314905528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IFERROR(__xludf.DUMMYFUNCTION("IMPORTRANGE(""https://docs.google.com/spreadsheets/d/1-uDff_7J0KD5mKrp0Vvzr7lt3OU09vwQwhkpOPPYv2Y/edit?usp=sharing"",""งบพรบ!BQ55"")"),170500)</f>
        <v>170500</v>
      </c>
      <c r="M144" s="427">
        <f ca="1">IFERROR(__xludf.DUMMYFUNCTION("IMPORTRANGE(""https://docs.google.com/spreadsheets/d/1-uDff_7J0KD5mKrp0Vvzr7lt3OU09vwQwhkpOPPYv2Y/edit?usp=sharing"",""งบพรบ!BV55"")"),142900)</f>
        <v>142900</v>
      </c>
      <c r="N144" s="427">
        <f ca="1">IFERROR(__xludf.DUMMYFUNCTION("IMPORTRANGE(""https://docs.google.com/spreadsheets/d/1-uDff_7J0KD5mKrp0Vvzr7lt3OU09vwQwhkpOPPYv2Y/edit?usp=sharing"",""งบพรบ!BX55"")"),25006)</f>
        <v>25006</v>
      </c>
      <c r="O144" s="427">
        <f t="shared" ca="1" si="21"/>
        <v>14.666275659824047</v>
      </c>
      <c r="P144" s="427">
        <f t="shared" ca="1" si="22"/>
        <v>17.498950314905528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IFERROR(__xludf.DUMMYFUNCTION("IMPORTRANGE(""https://docs.google.com/spreadsheets/d/1-uDff_7J0KD5mKrp0Vvzr7lt3OU09vwQwhkpOPPYv2Y/edit?usp=sharing"",""งบพรบ!BT55"")"),0)</f>
        <v>0</v>
      </c>
      <c r="M147" s="427">
        <f ca="1">IFERROR(__xludf.DUMMYFUNCTION("IMPORTRANGE(""https://docs.google.com/spreadsheets/d/1-uDff_7J0KD5mKrp0Vvzr7lt3OU09vwQwhkpOPPYv2Y/edit?usp=sharing"",""งบพรบ!BW55"")"),0)</f>
        <v>0</v>
      </c>
      <c r="N147" s="427">
        <f ca="1">IFERROR(__xludf.DUMMYFUNCTION("IMPORTRANGE(""https://docs.google.com/spreadsheets/d/1-uDff_7J0KD5mKrp0Vvzr7lt3OU09vwQwhkpOPPYv2Y/edit?usp=sharing"",""งบพรบ!BY55"")"),0)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IFERROR(__xludf.DUMMYFUNCTION("IMPORTRANGE(""https://docs.google.com/spreadsheets/d/1eHaY18a8A9IcSdp1K8H6x8fbOy06t2VsZHhMHf-1x7Y/edit?usp=sharing"",""แผน!U55"")"),30)</f>
        <v>30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IFERROR(__xludf.DUMMYFUNCTION("IMPORTRANGE(""https://docs.google.com/spreadsheets/d/1eHaY18a8A9IcSdp1K8H6x8fbOy06t2VsZHhMHf-1x7Y/edit?usp=sharing"",""แผน!V55"")"),3)</f>
        <v>3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IFERROR(__xludf.DUMMYFUNCTION("IMPORTRANGE(""https://docs.google.com/spreadsheets/d/1eHaY18a8A9IcSdp1K8H6x8fbOy06t2VsZHhMHf-1x7Y/edit?usp=sharing"",""แผน!W55"")"),50)</f>
        <v>50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IFERROR(__xludf.DUMMYFUNCTION("IMPORTRANGE(""https://docs.google.com/spreadsheets/d/1eHaY18a8A9IcSdp1K8H6x8fbOy06t2VsZHhMHf-1x7Y/edit?usp=sharing"",""แผน!X55"")"),5)</f>
        <v>5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IFERROR(__xludf.DUMMYFUNCTION("IMPORTRANGE(""https://docs.google.com/spreadsheets/d/1eHaY18a8A9IcSdp1K8H6x8fbOy06t2VsZHhMHf-1x7Y/edit?usp=sharing"",""แผน!Y55"")"),3)</f>
        <v>3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IFERROR(__xludf.DUMMYFUNCTION("IMPORTRANGE(""https://docs.google.com/spreadsheets/d/1-uDff_7J0KD5mKrp0Vvzr7lt3OU09vwQwhkpOPPYv2Y/edit?usp=sharing"",""งบพรบ!CA55"")"),3000)</f>
        <v>3000</v>
      </c>
      <c r="M162" s="427">
        <f ca="1">IFERROR(__xludf.DUMMYFUNCTION("IMPORTRANGE(""https://docs.google.com/spreadsheets/d/1-uDff_7J0KD5mKrp0Vvzr7lt3OU09vwQwhkpOPPYv2Y/edit?usp=sharing"",""งบพรบ!CF55"")"),0)</f>
        <v>0</v>
      </c>
      <c r="N162" s="427">
        <f ca="1">IFERROR(__xludf.DUMMYFUNCTION("IMPORTRANGE(""https://docs.google.com/spreadsheets/d/1-uDff_7J0KD5mKrp0Vvzr7lt3OU09vwQwhkpOPPYv2Y/edit?usp=sharing"",""งบพรบ!CH55"")"),0)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IFERROR(__xludf.DUMMYFUNCTION("IMPORTRANGE(""https://docs.google.com/spreadsheets/d/1-uDff_7J0KD5mKrp0Vvzr7lt3OU09vwQwhkpOPPYv2Y/edit?usp=sharing"",""งบพรบ!CD55"")"),0)</f>
        <v>0</v>
      </c>
      <c r="M165" s="427">
        <f ca="1">IFERROR(__xludf.DUMMYFUNCTION("IMPORTRANGE(""https://docs.google.com/spreadsheets/d/1-uDff_7J0KD5mKrp0Vvzr7lt3OU09vwQwhkpOPPYv2Y/edit?usp=sharing"",""งบพรบ!CG55"")"),0)</f>
        <v>0</v>
      </c>
      <c r="N165" s="427">
        <f ca="1">IFERROR(__xludf.DUMMYFUNCTION("IMPORTRANGE(""https://docs.google.com/spreadsheets/d/1-uDff_7J0KD5mKrp0Vvzr7lt3OU09vwQwhkpOPPYv2Y/edit?usp=sharing"",""งบพรบ!CI55"")"),0)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IFERROR(__xludf.DUMMYFUNCTION("IMPORTRANGE(""https://docs.google.com/spreadsheets/d/1eHaY18a8A9IcSdp1K8H6x8fbOy06t2VsZHhMHf-1x7Y/edit?usp=sharing"",""แผน!Z55"")"),10)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7</v>
      </c>
      <c r="K172" s="828">
        <f ca="1">IF(I172&gt;0,J172*100/I172,0)</f>
        <v>100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19590</v>
      </c>
      <c r="O173" s="715">
        <f t="shared" ref="O173:O181" ca="1" si="27">IF(L173&gt;0,N173*100/L173,0)</f>
        <v>100</v>
      </c>
      <c r="P173" s="715">
        <f t="shared" ref="P173:P181" ca="1" si="28">IF(M173&gt;0,N173*100/M173,0)</f>
        <v>100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19590</v>
      </c>
      <c r="O175" s="427">
        <f t="shared" ca="1" si="27"/>
        <v>100</v>
      </c>
      <c r="P175" s="427">
        <f t="shared" ca="1" si="28"/>
        <v>100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t="shared" ca="1" si="27"/>
        <v>100</v>
      </c>
      <c r="P176" s="427">
        <f t="shared" ca="1" si="28"/>
        <v>100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IFERROR(__xludf.DUMMYFUNCTION("IMPORTRANGE(""https://docs.google.com/spreadsheets/d/1-uDff_7J0KD5mKrp0Vvzr7lt3OU09vwQwhkpOPPYv2Y/edit?usp=sharing"",""งบพรบ!CK55"")"),19590)</f>
        <v>19590</v>
      </c>
      <c r="M178" s="427">
        <f ca="1">IFERROR(__xludf.DUMMYFUNCTION("IMPORTRANGE(""https://docs.google.com/spreadsheets/d/1-uDff_7J0KD5mKrp0Vvzr7lt3OU09vwQwhkpOPPYv2Y/edit?usp=sharing"",""งบพรบ!CP55"")"),19590)</f>
        <v>19590</v>
      </c>
      <c r="N178" s="427">
        <f ca="1">IFERROR(__xludf.DUMMYFUNCTION("IMPORTRANGE(""https://docs.google.com/spreadsheets/d/1-uDff_7J0KD5mKrp0Vvzr7lt3OU09vwQwhkpOPPYv2Y/edit?usp=sharing"",""งบพรบ!CR55"")"),19590)</f>
        <v>19590</v>
      </c>
      <c r="O178" s="427">
        <f t="shared" ca="1" si="27"/>
        <v>100</v>
      </c>
      <c r="P178" s="427">
        <f t="shared" ca="1" si="28"/>
        <v>100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IFERROR(__xludf.DUMMYFUNCTION("IMPORTRANGE(""https://docs.google.com/spreadsheets/d/1-uDff_7J0KD5mKrp0Vvzr7lt3OU09vwQwhkpOPPYv2Y/edit?usp=sharing"",""งบพรบ!CN55"")"),0)</f>
        <v>0</v>
      </c>
      <c r="M181" s="427">
        <f ca="1">IFERROR(__xludf.DUMMYFUNCTION("IMPORTRANGE(""https://docs.google.com/spreadsheets/d/1-uDff_7J0KD5mKrp0Vvzr7lt3OU09vwQwhkpOPPYv2Y/edit?usp=sharing"",""งบพรบ!CQ55"")"),0)</f>
        <v>0</v>
      </c>
      <c r="N181" s="427">
        <f ca="1">IFERROR(__xludf.DUMMYFUNCTION("IMPORTRANGE(""https://docs.google.com/spreadsheets/d/1-uDff_7J0KD5mKrp0Vvzr7lt3OU09vwQwhkpOPPYv2Y/edit?usp=sharing"",""งบพรบ!CS55"")"),0)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IFERROR(__xludf.DUMMYFUNCTION("IMPORTRANGE(""https://docs.google.com/spreadsheets/d/1eHaY18a8A9IcSdp1K8H6x8fbOy06t2VsZHhMHf-1x7Y/edit?usp=sharing"",""แผน!AA55"")"),7)</f>
        <v>7</v>
      </c>
      <c r="J183" s="736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40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298000</v>
      </c>
      <c r="M186" s="715">
        <f ca="1">M187+M188</f>
        <v>236000</v>
      </c>
      <c r="N186" s="715">
        <f ca="1">N187+N188</f>
        <v>15590</v>
      </c>
      <c r="O186" s="715">
        <f t="shared" ref="O186:O194" ca="1" si="30">IF(L186&gt;0,N186*100/L186,0)</f>
        <v>5.2315436241610742</v>
      </c>
      <c r="P186" s="715">
        <f t="shared" ref="P186:P194" ca="1" si="31">IF(M186&gt;0,N186*100/M186,0)</f>
        <v>6.6059322033898304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298000</v>
      </c>
      <c r="M188" s="427">
        <f t="shared" ca="1" si="32"/>
        <v>236000</v>
      </c>
      <c r="N188" s="427">
        <f t="shared" ca="1" si="32"/>
        <v>15590</v>
      </c>
      <c r="O188" s="427">
        <f t="shared" ca="1" si="30"/>
        <v>5.2315436241610742</v>
      </c>
      <c r="P188" s="427">
        <f t="shared" ca="1" si="31"/>
        <v>6.6059322033898304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298000</v>
      </c>
      <c r="M189" s="427">
        <f ca="1">M190+M191</f>
        <v>236000</v>
      </c>
      <c r="N189" s="427">
        <f ca="1">N190+N191</f>
        <v>15590</v>
      </c>
      <c r="O189" s="427">
        <f t="shared" ca="1" si="30"/>
        <v>5.2315436241610742</v>
      </c>
      <c r="P189" s="427">
        <f t="shared" ca="1" si="31"/>
        <v>6.6059322033898304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IFERROR(__xludf.DUMMYFUNCTION("IMPORTRANGE(""https://docs.google.com/spreadsheets/d/1-uDff_7J0KD5mKrp0Vvzr7lt3OU09vwQwhkpOPPYv2Y/edit?usp=sharing"",""งบพรบ!CU55"")"),298000)</f>
        <v>298000</v>
      </c>
      <c r="M191" s="427">
        <f ca="1">IFERROR(__xludf.DUMMYFUNCTION("IMPORTRANGE(""https://docs.google.com/spreadsheets/d/1-uDff_7J0KD5mKrp0Vvzr7lt3OU09vwQwhkpOPPYv2Y/edit?usp=sharing"",""งบพรบ!CZ55"")"),236000)</f>
        <v>236000</v>
      </c>
      <c r="N191" s="427">
        <f ca="1">IFERROR(__xludf.DUMMYFUNCTION("IMPORTRANGE(""https://docs.google.com/spreadsheets/d/1-uDff_7J0KD5mKrp0Vvzr7lt3OU09vwQwhkpOPPYv2Y/edit?usp=sharing"",""งบพรบ!DB55"")"),15590)</f>
        <v>15590</v>
      </c>
      <c r="O191" s="427">
        <f t="shared" ca="1" si="30"/>
        <v>5.2315436241610742</v>
      </c>
      <c r="P191" s="427">
        <f t="shared" ca="1" si="31"/>
        <v>6.6059322033898304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IFERROR(__xludf.DUMMYFUNCTION("IMPORTRANGE(""https://docs.google.com/spreadsheets/d/1-uDff_7J0KD5mKrp0Vvzr7lt3OU09vwQwhkpOPPYv2Y/edit?usp=sharing"",""งบพรบ!CX55"")"),0)</f>
        <v>0</v>
      </c>
      <c r="M194" s="427">
        <f ca="1">IFERROR(__xludf.DUMMYFUNCTION("IMPORTRANGE(""https://docs.google.com/spreadsheets/d/1-uDff_7J0KD5mKrp0Vvzr7lt3OU09vwQwhkpOPPYv2Y/edit?usp=sharing"",""งบพรบ!DA55"")"),0)</f>
        <v>0</v>
      </c>
      <c r="N194" s="427">
        <f ca="1">IFERROR(__xludf.DUMMYFUNCTION("IMPORTRANGE(""https://docs.google.com/spreadsheets/d/1-uDff_7J0KD5mKrp0Vvzr7lt3OU09vwQwhkpOPPYv2Y/edit?usp=sharing"",""งบพรบ!DC55"")"),0)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IFERROR(__xludf.DUMMYFUNCTION("IMPORTRANGE(""https://docs.google.com/spreadsheets/d/1eHaY18a8A9IcSdp1K8H6x8fbOy06t2VsZHhMHf-1x7Y/edit?usp=sharing"",""แผน!AB55"")"),6000)</f>
        <v>6000</v>
      </c>
      <c r="M196" s="430"/>
      <c r="N196" s="827">
        <v>840</v>
      </c>
      <c r="O196" s="715">
        <f ca="1">IF(L196&gt;0,N196*100/L196,0)</f>
        <v>14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IFERROR(__xludf.DUMMYFUNCTION("IMPORTRANGE(""https://docs.google.com/spreadsheets/d/1eHaY18a8A9IcSdp1K8H6x8fbOy06t2VsZHhMHf-1x7Y/edit?usp=sharing"",""แผน!AE55"")"),4)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31000</v>
      </c>
      <c r="M203" s="430"/>
      <c r="N203" s="715">
        <f>N204+N205+N206+N207</f>
        <v>720</v>
      </c>
      <c r="O203" s="715">
        <f ca="1">IF(L203&gt;0,N203*100/L203,0)</f>
        <v>2.3225806451612905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IFERROR(__xludf.DUMMYFUNCTION("IMPORTRANGE(""https://docs.google.com/spreadsheets/d/1eHaY18a8A9IcSdp1K8H6x8fbOy06t2VsZHhMHf-1x7Y/edit?usp=sharing"",""แผน!AG55"")"),2000)</f>
        <v>2000</v>
      </c>
      <c r="M204" s="430"/>
      <c r="N204" s="818">
        <v>720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IFERROR(__xludf.DUMMYFUNCTION("IMPORTRANGE(""https://docs.google.com/spreadsheets/d/1eHaY18a8A9IcSdp1K8H6x8fbOy06t2VsZHhMHf-1x7Y/edit?usp=sharing"",""แผน!AH55"")"),0)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IFERROR(__xludf.DUMMYFUNCTION("IMPORTRANGE(""https://docs.google.com/spreadsheets/d/1eHaY18a8A9IcSdp1K8H6x8fbOy06t2VsZHhMHf-1x7Y/edit?usp=sharing"",""แผน!AI55"")"),16000)</f>
        <v>16000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IFERROR(__xludf.DUMMYFUNCTION("IMPORTRANGE(""https://docs.google.com/spreadsheets/d/1eHaY18a8A9IcSdp1K8H6x8fbOy06t2VsZHhMHf-1x7Y/edit?usp=sharing"",""แผน!AJ55"")"),13000)</f>
        <v>13000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IFERROR(__xludf.DUMMYFUNCTION("IMPORTRANGE(""https://docs.google.com/spreadsheets/d/1eHaY18a8A9IcSdp1K8H6x8fbOy06t2VsZHhMHf-1x7Y/edit?usp=sharing"",""แผน!AK55"")"),2)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IFERROR(__xludf.DUMMYFUNCTION("IMPORTRANGE(""https://docs.google.com/spreadsheets/d/1eHaY18a8A9IcSdp1K8H6x8fbOy06t2VsZHhMHf-1x7Y/edit?usp=sharing"",""แผน!JX55"")"),2)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IFERROR(__xludf.DUMMYFUNCTION("IMPORTRANGE(""https://docs.google.com/spreadsheets/d/1eHaY18a8A9IcSdp1K8H6x8fbOy06t2VsZHhMHf-1x7Y/edit?usp=sharing"",""แผน!JY55"")"),1)</f>
        <v>1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3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42000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IFERROR(__xludf.DUMMYFUNCTION("IMPORTRANGE(""https://docs.google.com/spreadsheets/d/1eHaY18a8A9IcSdp1K8H6x8fbOy06t2VsZHhMHf-1x7Y/edit?usp=sharing"",""แผน!AM55"")"),3000)</f>
        <v>3000</v>
      </c>
      <c r="M215" s="430"/>
      <c r="N215" s="818">
        <v>0</v>
      </c>
      <c r="O215" s="678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IFERROR(__xludf.DUMMYFUNCTION("IMPORTRANGE(""https://docs.google.com/spreadsheets/d/1eHaY18a8A9IcSdp1K8H6x8fbOy06t2VsZHhMHf-1x7Y/edit?usp=sharing"",""แผน!AN55"")"),15000)</f>
        <v>15000</v>
      </c>
      <c r="M216" s="430"/>
      <c r="N216" s="818">
        <v>0</v>
      </c>
      <c r="O216" s="678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IFERROR(__xludf.DUMMYFUNCTION("IMPORTRANGE(""https://docs.google.com/spreadsheets/d/1eHaY18a8A9IcSdp1K8H6x8fbOy06t2VsZHhMHf-1x7Y/edit?usp=sharing"",""แผน!AO55"")"),24000)</f>
        <v>24000</v>
      </c>
      <c r="M217" s="430"/>
      <c r="N217" s="818">
        <v>0</v>
      </c>
      <c r="O217" s="678"/>
      <c r="P217" s="430"/>
    </row>
    <row r="218" spans="1:16" ht="19.5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IFERROR(__xludf.DUMMYFUNCTION("IMPORTRANGE(""https://docs.google.com/spreadsheets/d/1eHaY18a8A9IcSdp1K8H6x8fbOy06t2VsZHhMHf-1x7Y/edit?usp=sharing"",""แผน!AP55"")"),3)</f>
        <v>3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IFERROR(__xludf.DUMMYFUNCTION("IMPORTRANGE(""https://docs.google.com/spreadsheets/d/1eHaY18a8A9IcSdp1K8H6x8fbOy06t2VsZHhMHf-1x7Y/edit?usp=sharing"",""แผน!AP55"")"),3)</f>
        <v>3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40000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6500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IFERROR(__xludf.DUMMYFUNCTION("IMPORTRANGE(""https://docs.google.com/spreadsheets/d/1eHaY18a8A9IcSdp1K8H6x8fbOy06t2VsZHhMHf-1x7Y/edit?usp=sharing"",""แผน!AR55"")"),5000)</f>
        <v>5000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IFERROR(__xludf.DUMMYFUNCTION("IMPORTRANGE(""https://docs.google.com/spreadsheets/d/1eHaY18a8A9IcSdp1K8H6x8fbOy06t2VsZHhMHf-1x7Y/edit?usp=sharing"",""แผน!AS55"")"),1500)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IFERROR(__xludf.DUMMYFUNCTION("IMPORTRANGE(""https://docs.google.com/spreadsheets/d/1eHaY18a8A9IcSdp1K8H6x8fbOy06t2VsZHhMHf-1x7Y/edit?usp=sharing"",""แผน!AT55"")"),0)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IFERROR(__xludf.DUMMYFUNCTION("IMPORTRANGE(""https://docs.google.com/spreadsheets/d/1eHaY18a8A9IcSdp1K8H6x8fbOy06t2VsZHhMHf-1x7Y/edit?usp=sharing"",""แผน!AV55"")"),40000)</f>
        <v>40000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IFERROR(__xludf.DUMMYFUNCTION("IMPORTRANGE(""https://docs.google.com/spreadsheets/d/1eHaY18a8A9IcSdp1K8H6x8fbOy06t2VsZHhMHf-1x7Y/edit?usp=sharing"",""แผน!AV55"")"),40000)</f>
        <v>40000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IFERROR(__xludf.DUMMYFUNCTION("IMPORTRANGE(""https://docs.google.com/spreadsheets/d/1eHaY18a8A9IcSdp1K8H6x8fbOy06t2VsZHhMHf-1x7Y/edit?usp=sharing"",""แผน!AU55"")"),0)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40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121500</v>
      </c>
      <c r="M232" s="501"/>
      <c r="N232" s="525">
        <f>N243+N254</f>
        <v>2710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16000</v>
      </c>
      <c r="M233" s="501"/>
      <c r="N233" s="502">
        <f>N244+N255</f>
        <v>2710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6000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55500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44000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40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40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2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253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53800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IFERROR(__xludf.DUMMYFUNCTION("IMPORTRANGE(""https://docs.google.com/spreadsheets/d/1eHaY18a8A9IcSdp1K8H6x8fbOy06t2VsZHhMHf-1x7Y/edit?usp=sharing"",""แผน!AX55"")"),8000)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IFERROR(__xludf.DUMMYFUNCTION("IMPORTRANGE(""https://docs.google.com/spreadsheets/d/1eHaY18a8A9IcSdp1K8H6x8fbOy06t2VsZHhMHf-1x7Y/edit?usp=sharing"",""แผน!AY55"")"),3000)</f>
        <v>3000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IFERROR(__xludf.DUMMYFUNCTION("IMPORTRANGE(""https://docs.google.com/spreadsheets/d/1eHaY18a8A9IcSdp1K8H6x8fbOy06t2VsZHhMHf-1x7Y/edit?usp=sharing"",""แผน!AZ55"")"),23800)</f>
        <v>23800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IFERROR(__xludf.DUMMYFUNCTION("IMPORTRANGE(""https://docs.google.com/spreadsheets/d/1eHaY18a8A9IcSdp1K8H6x8fbOy06t2VsZHhMHf-1x7Y/edit?usp=sharing"",""แผน!BA55"")"),19000)</f>
        <v>19000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IFERROR(__xludf.DUMMYFUNCTION("IMPORTRANGE(""https://docs.google.com/spreadsheets/d/1eHaY18a8A9IcSdp1K8H6x8fbOy06t2VsZHhMHf-1x7Y/edit?usp=sharing"",""แผน!BG55"")"),20)</f>
        <v>20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1077" t="s">
        <v>252</v>
      </c>
      <c r="F251" s="1076"/>
      <c r="G251" s="1075"/>
      <c r="H251" s="1074" t="s">
        <v>33</v>
      </c>
      <c r="I251" s="196">
        <f ca="1">IFERROR(__xludf.DUMMYFUNCTION("IMPORTRANGE(""https://docs.google.com/spreadsheets/d/1eHaY18a8A9IcSdp1K8H6x8fbOy06t2VsZHhMHf-1x7Y/edit?usp=sharing"",""แผน!KB55"")"),20)</f>
        <v>20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706" t="s">
        <v>251</v>
      </c>
      <c r="F252" s="422"/>
      <c r="G252" s="680"/>
      <c r="H252" s="705" t="s">
        <v>33</v>
      </c>
      <c r="I252" s="196">
        <f ca="1">IFERROR(__xludf.DUMMYFUNCTION("IMPORTRANGE(""https://docs.google.com/spreadsheets/d/1eHaY18a8A9IcSdp1K8H6x8fbOy06t2VsZHhMHf-1x7Y/edit?usp=sharing"",""แผน!KC55"")"),1)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x14ac:dyDescent="0.3">
      <c r="A253" s="281"/>
      <c r="B253" s="282"/>
      <c r="C253" s="816" t="s">
        <v>250</v>
      </c>
      <c r="D253" s="284"/>
      <c r="E253" s="284"/>
      <c r="F253" s="284"/>
      <c r="G253" s="285"/>
      <c r="H253" s="286" t="s">
        <v>33</v>
      </c>
      <c r="I253" s="287">
        <f ca="1">I260</f>
        <v>20</v>
      </c>
      <c r="J253" s="287">
        <f>J260</f>
        <v>0</v>
      </c>
      <c r="K253" s="288">
        <f ca="1">IF(I253&gt;0,J253*100/I253,0)</f>
        <v>0</v>
      </c>
      <c r="L253" s="289"/>
      <c r="M253" s="289"/>
      <c r="N253" s="289"/>
      <c r="O253" s="289"/>
      <c r="P253" s="289"/>
    </row>
    <row r="254" spans="1:16" ht="19.5" x14ac:dyDescent="0.3">
      <c r="A254" s="157"/>
      <c r="B254" s="280"/>
      <c r="C254" s="298" t="s">
        <v>16</v>
      </c>
      <c r="D254" s="601" t="s">
        <v>17</v>
      </c>
      <c r="E254" s="53"/>
      <c r="F254" s="53"/>
      <c r="G254" s="55"/>
      <c r="H254" s="291" t="s">
        <v>12</v>
      </c>
      <c r="I254" s="164"/>
      <c r="J254" s="164"/>
      <c r="K254" s="165"/>
      <c r="L254" s="161">
        <f ca="1">L255+L256+L257+L258</f>
        <v>67700</v>
      </c>
      <c r="M254" s="58"/>
      <c r="N254" s="161">
        <f>N255+N256+N257+N258</f>
        <v>2710</v>
      </c>
      <c r="O254" s="161">
        <f ca="1">IF(L254&gt;0,N254*100/L254,0)</f>
        <v>4.0029542097488919</v>
      </c>
      <c r="P254" s="161">
        <f>IF(M254&gt;0,N254*100/M254,0)</f>
        <v>0</v>
      </c>
    </row>
    <row r="255" spans="1:16" ht="18.75" x14ac:dyDescent="0.25">
      <c r="A255" s="157"/>
      <c r="B255" s="280"/>
      <c r="C255" s="280"/>
      <c r="D255" s="814" t="s">
        <v>152</v>
      </c>
      <c r="E255" s="53"/>
      <c r="F255" s="53"/>
      <c r="G255" s="55"/>
      <c r="H255" s="163" t="s">
        <v>12</v>
      </c>
      <c r="I255" s="164"/>
      <c r="J255" s="164"/>
      <c r="K255" s="165"/>
      <c r="L255" s="61">
        <f ca="1">IFERROR(__xludf.DUMMYFUNCTION("IMPORTRANGE(""https://docs.google.com/spreadsheets/d/1eHaY18a8A9IcSdp1K8H6x8fbOy06t2VsZHhMHf-1x7Y/edit?usp=sharing"",""แผน!BB55"")"),8000)</f>
        <v>8000</v>
      </c>
      <c r="M255" s="58"/>
      <c r="N255" s="600">
        <v>2710</v>
      </c>
      <c r="O255" s="58"/>
      <c r="P255" s="58"/>
    </row>
    <row r="256" spans="1:16" ht="18.75" x14ac:dyDescent="0.25">
      <c r="A256" s="276"/>
      <c r="B256" s="280"/>
      <c r="C256" s="280"/>
      <c r="D256" s="729" t="s">
        <v>81</v>
      </c>
      <c r="E256" s="53"/>
      <c r="F256" s="53"/>
      <c r="G256" s="55"/>
      <c r="H256" s="163" t="s">
        <v>12</v>
      </c>
      <c r="I256" s="57"/>
      <c r="J256" s="57"/>
      <c r="K256" s="58"/>
      <c r="L256" s="61">
        <f ca="1">IFERROR(__xludf.DUMMYFUNCTION("IMPORTRANGE(""https://docs.google.com/spreadsheets/d/1eHaY18a8A9IcSdp1K8H6x8fbOy06t2VsZHhMHf-1x7Y/edit?usp=sharing"",""แผน!BC55"")"),3000)</f>
        <v>3000</v>
      </c>
      <c r="M256" s="58"/>
      <c r="N256" s="600">
        <v>0</v>
      </c>
      <c r="O256" s="58"/>
      <c r="P256" s="58"/>
    </row>
    <row r="257" spans="1:16" ht="18.75" x14ac:dyDescent="0.25">
      <c r="A257" s="276"/>
      <c r="B257" s="280"/>
      <c r="C257" s="280"/>
      <c r="D257" s="729" t="s">
        <v>82</v>
      </c>
      <c r="E257" s="53"/>
      <c r="F257" s="53"/>
      <c r="G257" s="55"/>
      <c r="H257" s="163" t="s">
        <v>12</v>
      </c>
      <c r="I257" s="57"/>
      <c r="J257" s="57"/>
      <c r="K257" s="58"/>
      <c r="L257" s="61">
        <f ca="1">IFERROR(__xludf.DUMMYFUNCTION("IMPORTRANGE(""https://docs.google.com/spreadsheets/d/1eHaY18a8A9IcSdp1K8H6x8fbOy06t2VsZHhMHf-1x7Y/edit?usp=sharing"",""แผน!BD55"")"),31700)</f>
        <v>31700</v>
      </c>
      <c r="M257" s="58"/>
      <c r="N257" s="600">
        <v>0</v>
      </c>
      <c r="O257" s="58"/>
      <c r="P257" s="58"/>
    </row>
    <row r="258" spans="1:16" ht="18.75" x14ac:dyDescent="0.25">
      <c r="A258" s="276"/>
      <c r="B258" s="280"/>
      <c r="C258" s="280"/>
      <c r="D258" s="295" t="s">
        <v>83</v>
      </c>
      <c r="E258" s="53"/>
      <c r="F258" s="53"/>
      <c r="G258" s="55"/>
      <c r="H258" s="163" t="s">
        <v>12</v>
      </c>
      <c r="I258" s="57"/>
      <c r="J258" s="57"/>
      <c r="K258" s="58"/>
      <c r="L258" s="61">
        <f ca="1">IFERROR(__xludf.DUMMYFUNCTION("IMPORTRANGE(""https://docs.google.com/spreadsheets/d/1eHaY18a8A9IcSdp1K8H6x8fbOy06t2VsZHhMHf-1x7Y/edit?usp=sharing"",""แผน!BE55"")"),25000)</f>
        <v>25000</v>
      </c>
      <c r="M258" s="58"/>
      <c r="N258" s="600">
        <v>0</v>
      </c>
      <c r="O258" s="58"/>
      <c r="P258" s="58"/>
    </row>
    <row r="259" spans="1:16" ht="19.5" x14ac:dyDescent="0.3">
      <c r="A259" s="167"/>
      <c r="B259" s="168"/>
      <c r="C259" s="298" t="s">
        <v>16</v>
      </c>
      <c r="D259" s="551" t="s">
        <v>36</v>
      </c>
      <c r="E259" s="170"/>
      <c r="F259" s="170"/>
      <c r="G259" s="171"/>
      <c r="H259" s="172"/>
      <c r="I259" s="164"/>
      <c r="J259" s="57"/>
      <c r="K259" s="58"/>
      <c r="L259" s="58"/>
      <c r="M259" s="58"/>
      <c r="N259" s="58"/>
      <c r="O259" s="165"/>
      <c r="P259" s="165"/>
    </row>
    <row r="260" spans="1:16" ht="18.75" x14ac:dyDescent="0.25">
      <c r="A260" s="167"/>
      <c r="B260" s="168"/>
      <c r="C260" s="168"/>
      <c r="D260" s="195" t="s">
        <v>102</v>
      </c>
      <c r="E260" s="174"/>
      <c r="F260" s="174"/>
      <c r="G260" s="172"/>
      <c r="H260" s="166" t="s">
        <v>33</v>
      </c>
      <c r="I260" s="196">
        <f ca="1">IFERROR(__xludf.DUMMYFUNCTION("IMPORTRANGE(""https://docs.google.com/spreadsheets/d/1eHaY18a8A9IcSdp1K8H6x8fbOy06t2VsZHhMHf-1x7Y/edit?usp=sharing"",""แผน!BH55"")"),20)</f>
        <v>20</v>
      </c>
      <c r="J260" s="558">
        <v>0</v>
      </c>
      <c r="K260" s="61">
        <f ca="1">IF(I260&gt;0,J260*100/I260,0)</f>
        <v>0</v>
      </c>
      <c r="L260" s="58"/>
      <c r="M260" s="58"/>
      <c r="N260" s="58"/>
      <c r="O260" s="58"/>
      <c r="P260" s="58"/>
    </row>
    <row r="261" spans="1:16" ht="18.75" x14ac:dyDescent="0.25">
      <c r="A261" s="167"/>
      <c r="B261" s="168"/>
      <c r="C261" s="168"/>
      <c r="D261" s="308" t="s">
        <v>41</v>
      </c>
      <c r="E261" s="174"/>
      <c r="F261" s="174"/>
      <c r="G261" s="172"/>
      <c r="H261" s="227"/>
      <c r="I261" s="57"/>
      <c r="J261" s="57"/>
      <c r="K261" s="58"/>
      <c r="L261" s="58"/>
      <c r="M261" s="58"/>
      <c r="N261" s="58"/>
      <c r="O261" s="165"/>
      <c r="P261" s="165"/>
    </row>
    <row r="262" spans="1:16" ht="18.75" x14ac:dyDescent="0.25">
      <c r="A262" s="167"/>
      <c r="B262" s="168"/>
      <c r="C262" s="168"/>
      <c r="D262" s="168"/>
      <c r="E262" s="449" t="s">
        <v>103</v>
      </c>
      <c r="F262" s="174"/>
      <c r="G262" s="172"/>
      <c r="H262" s="166" t="s">
        <v>33</v>
      </c>
      <c r="I262" s="196">
        <f ca="1">IFERROR(__xludf.DUMMYFUNCTION("IMPORTRANGE(""https://docs.google.com/spreadsheets/d/1eHaY18a8A9IcSdp1K8H6x8fbOy06t2VsZHhMHf-1x7Y/edit?usp=sharing"",""แผน!KD55"")"),20)</f>
        <v>20</v>
      </c>
      <c r="J262" s="558">
        <v>0</v>
      </c>
      <c r="K262" s="61">
        <f ca="1">IF(I262&gt;0,J262*100/I262,0)</f>
        <v>0</v>
      </c>
      <c r="L262" s="58"/>
      <c r="M262" s="58"/>
      <c r="N262" s="58"/>
      <c r="O262" s="58"/>
      <c r="P262" s="58"/>
    </row>
    <row r="263" spans="1:16" ht="18.75" x14ac:dyDescent="0.25">
      <c r="A263" s="167"/>
      <c r="B263" s="168"/>
      <c r="C263" s="168"/>
      <c r="D263" s="168"/>
      <c r="E263" s="449" t="s">
        <v>104</v>
      </c>
      <c r="F263" s="174"/>
      <c r="G263" s="172"/>
      <c r="H263" s="166" t="s">
        <v>54</v>
      </c>
      <c r="I263" s="196">
        <f ca="1">IFERROR(__xludf.DUMMYFUNCTION("IMPORTRANGE(""https://docs.google.com/spreadsheets/d/1eHaY18a8A9IcSdp1K8H6x8fbOy06t2VsZHhMHf-1x7Y/edit?usp=sharing"",""แผน!KE55"")"),1)</f>
        <v>1</v>
      </c>
      <c r="J263" s="558">
        <v>0</v>
      </c>
      <c r="K263" s="61">
        <f ca="1">IF(I263&gt;0,J263*100/I263,0)</f>
        <v>0</v>
      </c>
      <c r="L263" s="58"/>
      <c r="M263" s="58"/>
      <c r="N263" s="58"/>
      <c r="O263" s="58"/>
      <c r="P263" s="58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IFERROR(__xludf.DUMMYFUNCTION("IMPORTRANGE(""https://docs.google.com/spreadsheets/d/1-uDff_7J0KD5mKrp0Vvzr7lt3OU09vwQwhkpOPPYv2Y/edit?usp=sharing"",""งบพรบ!DE55"")"),0)</f>
        <v>0</v>
      </c>
      <c r="M271" s="502">
        <f ca="1">IFERROR(__xludf.DUMMYFUNCTION("IMPORTRANGE(""https://docs.google.com/spreadsheets/d/1-uDff_7J0KD5mKrp0Vvzr7lt3OU09vwQwhkpOPPYv2Y/edit?usp=sharing"",""งบพรบ!DJ55"")"),0)</f>
        <v>0</v>
      </c>
      <c r="N271" s="502">
        <f ca="1">IFERROR(__xludf.DUMMYFUNCTION("IMPORTRANGE(""https://docs.google.com/spreadsheets/d/1-uDff_7J0KD5mKrp0Vvzr7lt3OU09vwQwhkpOPPYv2Y/edit?usp=sharing"",""งบพรบ!DL55"")"),0)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IFERROR(__xludf.DUMMYFUNCTION("IMPORTRANGE(""https://docs.google.com/spreadsheets/d/1-uDff_7J0KD5mKrp0Vvzr7lt3OU09vwQwhkpOPPYv2Y/edit?usp=sharing"",""งบพรบ!DH55"")"),0)</f>
        <v>0</v>
      </c>
      <c r="M274" s="502">
        <f ca="1">IFERROR(__xludf.DUMMYFUNCTION("IMPORTRANGE(""https://docs.google.com/spreadsheets/d/1-uDff_7J0KD5mKrp0Vvzr7lt3OU09vwQwhkpOPPYv2Y/edit?usp=sharing"",""งบพรบ!DK55"")"),0)</f>
        <v>0</v>
      </c>
      <c r="N274" s="502">
        <f ca="1">IFERROR(__xludf.DUMMYFUNCTION("IMPORTRANGE(""https://docs.google.com/spreadsheets/d/1-uDff_7J0KD5mKrp0Vvzr7lt3OU09vwQwhkpOPPYv2Y/edit?usp=sharing"",""งบพรบ!DM55"")"),0)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IFERROR(__xludf.DUMMYFUNCTION("IMPORTRANGE(""https://docs.google.com/spreadsheets/d/1-uDff_7J0KD5mKrp0Vvzr7lt3OU09vwQwhkpOPPYv2Y/edit?usp=sharing"",""งบพรบ!DO55"")"),0)</f>
        <v>0</v>
      </c>
      <c r="M287" s="427">
        <f ca="1">IFERROR(__xludf.DUMMYFUNCTION("IMPORTRANGE(""https://docs.google.com/spreadsheets/d/1-uDff_7J0KD5mKrp0Vvzr7lt3OU09vwQwhkpOPPYv2Y/edit?usp=sharing"",""งบพรบ!DT55"")"),0)</f>
        <v>0</v>
      </c>
      <c r="N287" s="427">
        <f ca="1">IFERROR(__xludf.DUMMYFUNCTION("IMPORTRANGE(""https://docs.google.com/spreadsheets/d/1-uDff_7J0KD5mKrp0Vvzr7lt3OU09vwQwhkpOPPYv2Y/edit?usp=sharing"",""งบพรบ!DV55"")"),0)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IFERROR(__xludf.DUMMYFUNCTION("IMPORTRANGE(""https://docs.google.com/spreadsheets/d/1-uDff_7J0KD5mKrp0Vvzr7lt3OU09vwQwhkpOPPYv2Y/edit?usp=sharing"",""งบพรบ!DR55"")"),0)</f>
        <v>0</v>
      </c>
      <c r="M290" s="427">
        <f ca="1">IFERROR(__xludf.DUMMYFUNCTION("IMPORTRANGE(""https://docs.google.com/spreadsheets/d/1-uDff_7J0KD5mKrp0Vvzr7lt3OU09vwQwhkpOPPYv2Y/edit?usp=sharing"",""งบพรบ!DU55"")"),0)</f>
        <v>0</v>
      </c>
      <c r="N290" s="427">
        <f ca="1">IFERROR(__xludf.DUMMYFUNCTION("IMPORTRANGE(""https://docs.google.com/spreadsheets/d/1-uDff_7J0KD5mKrp0Vvzr7lt3OU09vwQwhkpOPPYv2Y/edit?usp=sharing"",""งบพรบ!DW55"")"),0)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IFERROR(__xludf.DUMMYFUNCTION("IMPORTRANGE(""https://docs.google.com/spreadsheets/d/1eHaY18a8A9IcSdp1K8H6x8fbOy06t2VsZHhMHf-1x7Y/edit?usp=sharing"",""แผน!EE55"")"),0)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IFERROR(__xludf.DUMMYFUNCTION("IMPORTRANGE(""https://docs.google.com/spreadsheets/d/1eHaY18a8A9IcSdp1K8H6x8fbOy06t2VsZHhMHf-1x7Y/edit?usp=sharing"",""แผน!ED55"")"),0)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IFERROR(__xludf.DUMMYFUNCTION("IMPORTRANGE(""https://docs.google.com/spreadsheets/d/1eHaY18a8A9IcSdp1K8H6x8fbOy06t2VsZHhMHf-1x7Y/edit?usp=sharing"",""แผน!ED55"")"),0)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IFERROR(__xludf.DUMMYFUNCTION("IMPORTRANGE(""https://docs.google.com/spreadsheets/d/1eHaY18a8A9IcSdp1K8H6x8fbOy06t2VsZHhMHf-1x7Y/edit?usp=sharing"",""แผน!ED55"")"),0)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20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133500</v>
      </c>
      <c r="M303" s="715">
        <f ca="1">M304+M305</f>
        <v>100900</v>
      </c>
      <c r="N303" s="715">
        <f ca="1">N304+N305</f>
        <v>15536.67</v>
      </c>
      <c r="O303" s="715">
        <f t="shared" ref="O303:O311" ca="1" si="39">IF(L303&gt;0,N303*100/L303,0)</f>
        <v>11.637955056179775</v>
      </c>
      <c r="P303" s="715">
        <f t="shared" ref="P303:P311" ca="1" si="40">IF(M303&gt;0,N303*100/M303,0)</f>
        <v>15.39808721506442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133500</v>
      </c>
      <c r="M305" s="427">
        <f t="shared" ca="1" si="41"/>
        <v>100900</v>
      </c>
      <c r="N305" s="427">
        <f t="shared" ca="1" si="41"/>
        <v>15536.67</v>
      </c>
      <c r="O305" s="427">
        <f t="shared" ca="1" si="39"/>
        <v>11.637955056179775</v>
      </c>
      <c r="P305" s="427">
        <f t="shared" ca="1" si="40"/>
        <v>15.39808721506442</v>
      </c>
    </row>
    <row r="306" spans="1:16" ht="18.75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133500</v>
      </c>
      <c r="M306" s="427">
        <f ca="1">M307+M308</f>
        <v>100900</v>
      </c>
      <c r="N306" s="427">
        <f ca="1">N307+N308</f>
        <v>15536.67</v>
      </c>
      <c r="O306" s="427">
        <f t="shared" ca="1" si="39"/>
        <v>11.637955056179775</v>
      </c>
      <c r="P306" s="427">
        <f t="shared" ca="1" si="40"/>
        <v>15.39808721506442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IFERROR(__xludf.DUMMYFUNCTION("IMPORTRANGE(""https://docs.google.com/spreadsheets/d/1-uDff_7J0KD5mKrp0Vvzr7lt3OU09vwQwhkpOPPYv2Y/edit?usp=sharing"",""งบพรบ!DY55"")"),133500)</f>
        <v>133500</v>
      </c>
      <c r="M308" s="427">
        <f ca="1">IFERROR(__xludf.DUMMYFUNCTION("IMPORTRANGE(""https://docs.google.com/spreadsheets/d/1-uDff_7J0KD5mKrp0Vvzr7lt3OU09vwQwhkpOPPYv2Y/edit?usp=sharing"",""งบพรบ!ED55"")"),100900)</f>
        <v>100900</v>
      </c>
      <c r="N308" s="427">
        <f ca="1">IFERROR(__xludf.DUMMYFUNCTION("IMPORTRANGE(""https://docs.google.com/spreadsheets/d/1-uDff_7J0KD5mKrp0Vvzr7lt3OU09vwQwhkpOPPYv2Y/edit?usp=sharing"",""งบพรบ!EF55"")"),15536.67)</f>
        <v>15536.67</v>
      </c>
      <c r="O308" s="427">
        <f t="shared" ca="1" si="39"/>
        <v>11.637955056179775</v>
      </c>
      <c r="P308" s="427">
        <f t="shared" ca="1" si="40"/>
        <v>15.39808721506442</v>
      </c>
    </row>
    <row r="309" spans="1:16" ht="18.75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IFERROR(__xludf.DUMMYFUNCTION("IMPORTRANGE(""https://docs.google.com/spreadsheets/d/1-uDff_7J0KD5mKrp0Vvzr7lt3OU09vwQwhkpOPPYv2Y/edit?usp=sharing"",""งบพรบ!EB55"")"),0)</f>
        <v>0</v>
      </c>
      <c r="M311" s="427">
        <f ca="1">IFERROR(__xludf.DUMMYFUNCTION("IMPORTRANGE(""https://docs.google.com/spreadsheets/d/1-uDff_7J0KD5mKrp0Vvzr7lt3OU09vwQwhkpOPPYv2Y/edit?usp=sharing"",""งบพรบ!EE55"")"),0)</f>
        <v>0</v>
      </c>
      <c r="N311" s="427">
        <f ca="1">IFERROR(__xludf.DUMMYFUNCTION("IMPORTRANGE(""https://docs.google.com/spreadsheets/d/1-uDff_7J0KD5mKrp0Vvzr7lt3OU09vwQwhkpOPPYv2Y/edit?usp=sharing"",""งบพรบ!EG55"")"),0)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IFERROR(__xludf.DUMMYFUNCTION("IMPORTRANGE(""https://docs.google.com/spreadsheets/d/1eHaY18a8A9IcSdp1K8H6x8fbOy06t2VsZHhMHf-1x7Y/edit?usp=sharing"",""แผน!EF55"")"),20)</f>
        <v>20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IFERROR(__xludf.DUMMYFUNCTION("IMPORTRANGE(""https://docs.google.com/spreadsheets/d/1eHaY18a8A9IcSdp1K8H6x8fbOy06t2VsZHhMHf-1x7Y/edit?usp=sharing"",""แผน!EG55"")"),4)</f>
        <v>4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IFERROR(__xludf.DUMMYFUNCTION("IMPORTRANGE(""https://docs.google.com/spreadsheets/d/1eHaY18a8A9IcSdp1K8H6x8fbOy06t2VsZHhMHf-1x7Y/edit?usp=sharing"",""แผน!EH55"")"),20)</f>
        <v>20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IFERROR(__xludf.DUMMYFUNCTION("IMPORTRANGE(""https://docs.google.com/spreadsheets/d/1eHaY18a8A9IcSdp1K8H6x8fbOy06t2VsZHhMHf-1x7Y/edit?usp=sharing"",""แผน!EI55"")"),4)</f>
        <v>4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IFERROR(__xludf.DUMMYFUNCTION("IMPORTRANGE(""https://docs.google.com/spreadsheets/d/1-uDff_7J0KD5mKrp0Vvzr7lt3OU09vwQwhkpOPPYv2Y/edit?usp=sharing"",""งบพรบ!EI55"")"),0)</f>
        <v>0</v>
      </c>
      <c r="M325" s="427">
        <f ca="1">IFERROR(__xludf.DUMMYFUNCTION("IMPORTRANGE(""https://docs.google.com/spreadsheets/d/1-uDff_7J0KD5mKrp0Vvzr7lt3OU09vwQwhkpOPPYv2Y/edit?usp=sharing"",""งบพรบ!EN55"")"),0)</f>
        <v>0</v>
      </c>
      <c r="N325" s="427">
        <f ca="1">IFERROR(__xludf.DUMMYFUNCTION("IMPORTRANGE(""https://docs.google.com/spreadsheets/d/1-uDff_7J0KD5mKrp0Vvzr7lt3OU09vwQwhkpOPPYv2Y/edit?usp=sharing"",""งบพรบ!EP55"")"),0)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IFERROR(__xludf.DUMMYFUNCTION("IMPORTRANGE(""https://docs.google.com/spreadsheets/d/1-uDff_7J0KD5mKrp0Vvzr7lt3OU09vwQwhkpOPPYv2Y/edit?usp=sharing"",""งบพรบ!EL55"")"),0)</f>
        <v>0</v>
      </c>
      <c r="M328" s="427">
        <f ca="1">IFERROR(__xludf.DUMMYFUNCTION("IMPORTRANGE(""https://docs.google.com/spreadsheets/d/1-uDff_7J0KD5mKrp0Vvzr7lt3OU09vwQwhkpOPPYv2Y/edit?usp=sharing"",""งบพรบ!EO55"")"),0)</f>
        <v>0</v>
      </c>
      <c r="N328" s="427">
        <f ca="1">IFERROR(__xludf.DUMMYFUNCTION("IMPORTRANGE(""https://docs.google.com/spreadsheets/d/1-uDff_7J0KD5mKrp0Vvzr7lt3OU09vwQwhkpOPPYv2Y/edit?usp=sharing"",""งบพรบ!EQ55"")"),0)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IFERROR(__xludf.DUMMYFUNCTION("IMPORTRANGE(""https://docs.google.com/spreadsheets/d/1eHaY18a8A9IcSdp1K8H6x8fbOy06t2VsZHhMHf-1x7Y/edit?usp=sharing"",""แผน!EJ55"")"),0)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739">
        <f ca="1">I344</f>
        <v>2860</v>
      </c>
      <c r="J332" s="739">
        <f ca="1">J344+J347+J348+J349+J353</f>
        <v>5453</v>
      </c>
      <c r="K332" s="738">
        <f ca="1">IF(I332&gt;0,J332*100/I332,0)</f>
        <v>190.66433566433565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379000</v>
      </c>
      <c r="M333" s="715">
        <f ca="1">M334+M335</f>
        <v>278150</v>
      </c>
      <c r="N333" s="715">
        <f ca="1">N334+N335</f>
        <v>123326.68</v>
      </c>
      <c r="O333" s="715">
        <f t="shared" ref="O333:O341" ca="1" si="45">IF(L333&gt;0,N333*100/L333,0)</f>
        <v>32.540021108179417</v>
      </c>
      <c r="P333" s="715">
        <f t="shared" ref="P333:P341" ca="1" si="46">IF(M333&gt;0,N333*100/M333,0)</f>
        <v>44.33819162322488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379000</v>
      </c>
      <c r="M335" s="427">
        <f t="shared" ca="1" si="47"/>
        <v>278150</v>
      </c>
      <c r="N335" s="427">
        <f t="shared" ca="1" si="47"/>
        <v>123326.68</v>
      </c>
      <c r="O335" s="427">
        <f t="shared" ca="1" si="45"/>
        <v>32.540021108179417</v>
      </c>
      <c r="P335" s="427">
        <f t="shared" ca="1" si="46"/>
        <v>44.33819162322488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379000</v>
      </c>
      <c r="M336" s="427">
        <f ca="1">M337+M338</f>
        <v>278150</v>
      </c>
      <c r="N336" s="427">
        <f ca="1">N337+N338</f>
        <v>123326.68</v>
      </c>
      <c r="O336" s="427">
        <f t="shared" ca="1" si="45"/>
        <v>32.540021108179417</v>
      </c>
      <c r="P336" s="427">
        <f t="shared" ca="1" si="46"/>
        <v>44.33819162322488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IFERROR(__xludf.DUMMYFUNCTION("IMPORTRANGE(""https://docs.google.com/spreadsheets/d/1-uDff_7J0KD5mKrp0Vvzr7lt3OU09vwQwhkpOPPYv2Y/edit?usp=sharing"",""งบพรบ!ES55"")"),379000)</f>
        <v>379000</v>
      </c>
      <c r="M338" s="427">
        <f ca="1">IFERROR(__xludf.DUMMYFUNCTION("IMPORTRANGE(""https://docs.google.com/spreadsheets/d/1-uDff_7J0KD5mKrp0Vvzr7lt3OU09vwQwhkpOPPYv2Y/edit?usp=sharing"",""งบพรบ!EX55"")"),278150)</f>
        <v>278150</v>
      </c>
      <c r="N338" s="427">
        <f ca="1">IFERROR(__xludf.DUMMYFUNCTION("IMPORTRANGE(""https://docs.google.com/spreadsheets/d/1-uDff_7J0KD5mKrp0Vvzr7lt3OU09vwQwhkpOPPYv2Y/edit?usp=sharing"",""งบพรบ!EZ55"")"),123326.68)</f>
        <v>123326.68</v>
      </c>
      <c r="O338" s="427">
        <f t="shared" ca="1" si="45"/>
        <v>32.540021108179417</v>
      </c>
      <c r="P338" s="427">
        <f t="shared" ca="1" si="46"/>
        <v>44.33819162322488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IFERROR(__xludf.DUMMYFUNCTION("IMPORTRANGE(""https://docs.google.com/spreadsheets/d/1-uDff_7J0KD5mKrp0Vvzr7lt3OU09vwQwhkpOPPYv2Y/edit?usp=sharing"",""งบพรบ!EV55"")"),0)</f>
        <v>0</v>
      </c>
      <c r="M341" s="427">
        <f ca="1">IFERROR(__xludf.DUMMYFUNCTION("IMPORTRANGE(""https://docs.google.com/spreadsheets/d/1-uDff_7J0KD5mKrp0Vvzr7lt3OU09vwQwhkpOPPYv2Y/edit?usp=sharing"",""งบพรบ!EY55"")"),0)</f>
        <v>0</v>
      </c>
      <c r="N341" s="427">
        <f ca="1">IFERROR(__xludf.DUMMYFUNCTION("IMPORTRANGE(""https://docs.google.com/spreadsheets/d/1-uDff_7J0KD5mKrp0Vvzr7lt3OU09vwQwhkpOPPYv2Y/edit?usp=sharing"",""งบพรบ!FA55"")"),0)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1073"/>
      <c r="B343" s="1072"/>
      <c r="C343" s="283"/>
      <c r="D343" s="597"/>
      <c r="E343" s="552" t="s">
        <v>130</v>
      </c>
      <c r="F343" s="1072"/>
      <c r="G343" s="1071"/>
      <c r="H343" s="439" t="s">
        <v>33</v>
      </c>
      <c r="I343" s="440">
        <v>0</v>
      </c>
      <c r="J343" s="440">
        <f ca="1">J344+J347+J348+J349</f>
        <v>2182</v>
      </c>
      <c r="K343" s="441">
        <v>0</v>
      </c>
      <c r="L343" s="1070"/>
      <c r="M343" s="1070"/>
      <c r="N343" s="1070"/>
      <c r="O343" s="1070"/>
      <c r="P343" s="1070"/>
    </row>
    <row r="344" spans="1:16" ht="18.75" x14ac:dyDescent="0.25">
      <c r="A344" s="419"/>
      <c r="B344" s="420"/>
      <c r="C344" s="421"/>
      <c r="D344" s="423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IFERROR(__xludf.DUMMYFUNCTION("IMPORTRANGE(""https://docs.google.com/spreadsheets/d/1eHaY18a8A9IcSdp1K8H6x8fbOy06t2VsZHhMHf-1x7Y/edit?usp=sharing"",""แผน!EK55"")"),2860)</f>
        <v>2860</v>
      </c>
      <c r="J344" s="426">
        <f ca="1">IFERROR(__xludf.DUMMYFUNCTION("IMPORTRANGE(""https://docs.google.com/spreadsheets/d/1awYsYK3VOup2i3Pq_Yjnu8DRu_mYwSBnCR2QPthd0rU/edit?usp=sharing"",""ศูนย์ยกเว้นโฉนด!D55"")"),2176)</f>
        <v>2176</v>
      </c>
      <c r="K344" s="427">
        <f ca="1">IF(I344&gt;0,J344*100/I344,0)</f>
        <v>76.08391608391608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3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3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IFERROR(__xludf.DUMMYFUNCTION("IMPORTRANGE(""https://docs.google.com/spreadsheets/d/1eHaY18a8A9IcSdp1K8H6x8fbOy06t2VsZHhMHf-1x7Y/edit?usp=sharing"",""แผน!EL55"")"),5)</f>
        <v>5</v>
      </c>
      <c r="J346" s="426">
        <f ca="1">IFERROR(__xludf.DUMMYFUNCTION("IMPORTRANGE(""https://docs.google.com/spreadsheets/d/1awYsYK3VOup2i3Pq_Yjnu8DRu_mYwSBnCR2QPthd0rU/edit?usp=sharing"",""ศูนย์รวม!E55"")"),5)</f>
        <v>5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3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3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23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1073"/>
      <c r="B351" s="1072"/>
      <c r="C351" s="283"/>
      <c r="D351" s="597"/>
      <c r="E351" s="552" t="s">
        <v>138</v>
      </c>
      <c r="F351" s="1072"/>
      <c r="G351" s="1071"/>
      <c r="H351" s="439" t="s">
        <v>33</v>
      </c>
      <c r="I351" s="440">
        <v>0</v>
      </c>
      <c r="J351" s="440">
        <f ca="1">J352+J353</f>
        <v>3748</v>
      </c>
      <c r="K351" s="441">
        <v>0</v>
      </c>
      <c r="L351" s="1070"/>
      <c r="M351" s="1070"/>
      <c r="N351" s="1070"/>
      <c r="O351" s="1070"/>
      <c r="P351" s="1070"/>
    </row>
    <row r="352" spans="1:16" ht="18.75" x14ac:dyDescent="0.25">
      <c r="A352" s="421"/>
      <c r="B352" s="420"/>
      <c r="C352" s="421"/>
      <c r="D352" s="423"/>
      <c r="E352" s="423" t="s">
        <v>139</v>
      </c>
      <c r="F352" s="420"/>
      <c r="G352" s="424"/>
      <c r="H352" s="442" t="s">
        <v>33</v>
      </c>
      <c r="I352" s="429"/>
      <c r="J352" s="1037">
        <f ca="1">IFERROR(__xludf.DUMMYFUNCTION("IMPORTRANGE(""https://docs.google.com/spreadsheets/d/1awYsYK3VOup2i3Pq_Yjnu8DRu_mYwSBnCR2QPthd0rU/edit?usp=sharing"",""โฉนดM3!G55"")"),477)</f>
        <v>477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3"/>
      <c r="E353" s="423" t="s">
        <v>140</v>
      </c>
      <c r="F353" s="420"/>
      <c r="G353" s="424"/>
      <c r="H353" s="442" t="s">
        <v>33</v>
      </c>
      <c r="I353" s="429"/>
      <c r="J353" s="1037">
        <f ca="1">IFERROR(__xludf.DUMMYFUNCTION("IMPORTRANGE(""https://docs.google.com/spreadsheets/d/1awYsYK3VOup2i3Pq_Yjnu8DRu_mYwSBnCR2QPthd0rU/edit?usp=sharing"",""โฉนดM3!H55"")"),3271)</f>
        <v>3271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450655</v>
      </c>
      <c r="M356" s="715">
        <f ca="1">M357+M358</f>
        <v>448030</v>
      </c>
      <c r="N356" s="715">
        <f ca="1">N357+N358</f>
        <v>127470</v>
      </c>
      <c r="O356" s="715">
        <f t="shared" ref="O356:O364" ca="1" si="48">IF(L356&gt;0,N356*100/L356,0)</f>
        <v>28.285495556467808</v>
      </c>
      <c r="P356" s="715">
        <f t="shared" ref="P356:P364" ca="1" si="49">IF(M356&gt;0,N356*100/M356,0)</f>
        <v>28.451219784389437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450655</v>
      </c>
      <c r="M358" s="427">
        <f t="shared" ca="1" si="50"/>
        <v>448030</v>
      </c>
      <c r="N358" s="427">
        <f t="shared" ca="1" si="50"/>
        <v>127470</v>
      </c>
      <c r="O358" s="427">
        <f t="shared" ca="1" si="48"/>
        <v>28.285495556467808</v>
      </c>
      <c r="P358" s="427">
        <f t="shared" ca="1" si="49"/>
        <v>28.451219784389437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450655</v>
      </c>
      <c r="M359" s="427">
        <f ca="1">M360+M361</f>
        <v>448030</v>
      </c>
      <c r="N359" s="427">
        <f ca="1">N360+N361</f>
        <v>127470</v>
      </c>
      <c r="O359" s="427">
        <f t="shared" ca="1" si="48"/>
        <v>28.285495556467808</v>
      </c>
      <c r="P359" s="427">
        <f t="shared" ca="1" si="49"/>
        <v>28.451219784389437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IFERROR(__xludf.DUMMYFUNCTION("IMPORTRANGE(""https://docs.google.com/spreadsheets/d/1-uDff_7J0KD5mKrp0Vvzr7lt3OU09vwQwhkpOPPYv2Y/edit?usp=sharing"",""งบพรบ!FC55"")"),450655)</f>
        <v>450655</v>
      </c>
      <c r="M361" s="427">
        <f ca="1">IFERROR(__xludf.DUMMYFUNCTION("IMPORTRANGE(""https://docs.google.com/spreadsheets/d/1-uDff_7J0KD5mKrp0Vvzr7lt3OU09vwQwhkpOPPYv2Y/edit?usp=sharing"",""งบพรบ!FH55"")"),448030)</f>
        <v>448030</v>
      </c>
      <c r="N361" s="427">
        <f ca="1">IFERROR(__xludf.DUMMYFUNCTION("IMPORTRANGE(""https://docs.google.com/spreadsheets/d/1-uDff_7J0KD5mKrp0Vvzr7lt3OU09vwQwhkpOPPYv2Y/edit?usp=sharing"",""งบพรบ!FJ55"")"),127470)</f>
        <v>127470</v>
      </c>
      <c r="O361" s="427">
        <f t="shared" ca="1" si="48"/>
        <v>28.285495556467808</v>
      </c>
      <c r="P361" s="427">
        <f t="shared" ca="1" si="49"/>
        <v>28.451219784389437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IFERROR(__xludf.DUMMYFUNCTION("IMPORTRANGE(""https://docs.google.com/spreadsheets/d/1-uDff_7J0KD5mKrp0Vvzr7lt3OU09vwQwhkpOPPYv2Y/edit?usp=sharing"",""งบพรบ!FF55"")"),0)</f>
        <v>0</v>
      </c>
      <c r="M364" s="427">
        <f ca="1">IFERROR(__xludf.DUMMYFUNCTION("IMPORTRANGE(""https://docs.google.com/spreadsheets/d/1-uDff_7J0KD5mKrp0Vvzr7lt3OU09vwQwhkpOPPYv2Y/edit?usp=sharing"",""งบพรบ!FI55"")"),0)</f>
        <v>0</v>
      </c>
      <c r="N364" s="427">
        <f ca="1">IFERROR(__xludf.DUMMYFUNCTION("IMPORTRANGE(""https://docs.google.com/spreadsheets/d/1-uDff_7J0KD5mKrp0Vvzr7lt3OU09vwQwhkpOPPYv2Y/edit?usp=sharing"",""งบพรบ!FK55"")"),0)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322</v>
      </c>
      <c r="J365" s="440">
        <f ca="1">J371</f>
        <v>26</v>
      </c>
      <c r="K365" s="441">
        <f ca="1">IF(I365&gt;0,J365*100/I365,0)</f>
        <v>8.0745341614906838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IFERROR(__xludf.DUMMYFUNCTION("IMPORTRANGE(""https://docs.google.com/spreadsheets/d/1tdoBKaGub7dwA3U6UFTqxio9LNnvDCQjHKmttSEBsFQ/edit?usp=sharing"",""จัดที่ดิน!AB55"")"),130)</f>
        <v>130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IFERROR(__xludf.DUMMYFUNCTION("IMPORTRANGE(""https://docs.google.com/spreadsheets/d/1eHaY18a8A9IcSdp1K8H6x8fbOy06t2VsZHhMHf-1x7Y/edit?usp=sharing"",""แผน!EW55"")"),3355)</f>
        <v>3355</v>
      </c>
      <c r="J368" s="704">
        <f ca="1">IFERROR(__xludf.DUMMYFUNCTION("IMPORTRANGE(""https://docs.google.com/spreadsheets/d/1tdoBKaGub7dwA3U6UFTqxio9LNnvDCQjHKmttSEBsFQ/edit?usp=sharing"",""จัดที่ดิน!AC55"")"),1990.54)</f>
        <v>1990.54</v>
      </c>
      <c r="K368" s="427">
        <f t="shared" ca="1" si="51"/>
        <v>59.330551415797316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IFERROR(__xludf.DUMMYFUNCTION("IMPORTRANGE(""https://docs.google.com/spreadsheets/d/1eHaY18a8A9IcSdp1K8H6x8fbOy06t2VsZHhMHf-1x7Y/edit?usp=sharing"",""แผน!EX55"")"),491)</f>
        <v>491</v>
      </c>
      <c r="J369" s="426">
        <f ca="1">IFERROR(__xludf.DUMMYFUNCTION("IMPORTRANGE(""https://docs.google.com/spreadsheets/d/1tdoBKaGub7dwA3U6UFTqxio9LNnvDCQjHKmttSEBsFQ/edit?usp=sharing"",""จัดที่ดิน!AD55"")"),96)</f>
        <v>96</v>
      </c>
      <c r="K369" s="427">
        <f t="shared" ca="1" si="51"/>
        <v>19.551934826883912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IFERROR(__xludf.DUMMYFUNCTION("IMPORTRANGE(""https://docs.google.com/spreadsheets/d/1tdoBKaGub7dwA3U6UFTqxio9LNnvDCQjHKmttSEBsFQ/edit?usp=sharing"",""จัดที่ดิน!AE55"")"),1144.12)</f>
        <v>1144.1199999999999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IFERROR(__xludf.DUMMYFUNCTION("IMPORTRANGE(""https://docs.google.com/spreadsheets/d/1eHaY18a8A9IcSdp1K8H6x8fbOy06t2VsZHhMHf-1x7Y/edit?usp=sharing"",""แผน!EY55"")"),322)</f>
        <v>322</v>
      </c>
      <c r="J371" s="426">
        <f ca="1">IFERROR(__xludf.DUMMYFUNCTION("IMPORTRANGE(""https://docs.google.com/spreadsheets/d/1tdoBKaGub7dwA3U6UFTqxio9LNnvDCQjHKmttSEBsFQ/edit?usp=sharing"",""จัดที่ดิน!AF55"")"),26)</f>
        <v>26</v>
      </c>
      <c r="K371" s="427">
        <f t="shared" ca="1" si="51"/>
        <v>8.0745341614906838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IFERROR(__xludf.DUMMYFUNCTION("IMPORTRANGE(""https://docs.google.com/spreadsheets/d/1tdoBKaGub7dwA3U6UFTqxio9LNnvDCQjHKmttSEBsFQ/edit?usp=sharing"",""จัดที่ดิน!AG55"")"),309.2)</f>
        <v>309.2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IFERROR(__xludf.DUMMYFUNCTION("IMPORTRANGE(""https://docs.google.com/spreadsheets/d/1-uDff_7J0KD5mKrp0Vvzr7lt3OU09vwQwhkpOPPYv2Y/edit?usp=sharing"",""งบพรบ!FM55"")"),0)</f>
        <v>0</v>
      </c>
      <c r="M382" s="502">
        <f ca="1">IFERROR(__xludf.DUMMYFUNCTION("IMPORTRANGE(""https://docs.google.com/spreadsheets/d/1-uDff_7J0KD5mKrp0Vvzr7lt3OU09vwQwhkpOPPYv2Y/edit?usp=sharing"",""งบพรบ!FR55"")"),0)</f>
        <v>0</v>
      </c>
      <c r="N382" s="502">
        <f ca="1">IFERROR(__xludf.DUMMYFUNCTION("IMPORTRANGE(""https://docs.google.com/spreadsheets/d/1-uDff_7J0KD5mKrp0Vvzr7lt3OU09vwQwhkpOPPYv2Y/edit?usp=sharing"",""งบพรบ!FT55"")"),0)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IFERROR(__xludf.DUMMYFUNCTION("IMPORTRANGE(""https://docs.google.com/spreadsheets/d/1-uDff_7J0KD5mKrp0Vvzr7lt3OU09vwQwhkpOPPYv2Y/edit?usp=sharing"",""งบพรบ!FP55"")"),0)</f>
        <v>0</v>
      </c>
      <c r="M385" s="502">
        <f ca="1">IFERROR(__xludf.DUMMYFUNCTION("IMPORTRANGE(""https://docs.google.com/spreadsheets/d/1-uDff_7J0KD5mKrp0Vvzr7lt3OU09vwQwhkpOPPYv2Y/edit?usp=sharing"",""งบพรบ!FS55"")"),0)</f>
        <v>0</v>
      </c>
      <c r="N385" s="502">
        <f ca="1">IFERROR(__xludf.DUMMYFUNCTION("IMPORTRANGE(""https://docs.google.com/spreadsheets/d/1-uDff_7J0KD5mKrp0Vvzr7lt3OU09vwQwhkpOPPYv2Y/edit?usp=sharing"",""งบพรบ!FU55"")"),0)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1002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9.5" hidden="1" x14ac:dyDescent="0.3">
      <c r="A389" s="1069" t="s">
        <v>249</v>
      </c>
      <c r="B389" s="1068"/>
      <c r="C389" s="1068"/>
      <c r="D389" s="1068"/>
      <c r="E389" s="1068"/>
      <c r="F389" s="1068"/>
      <c r="G389" s="1067"/>
      <c r="H389" s="1067"/>
      <c r="I389" s="1066"/>
      <c r="J389" s="1066"/>
      <c r="K389" s="1065"/>
      <c r="L389" s="1064"/>
      <c r="M389" s="1064"/>
      <c r="N389" s="1064"/>
      <c r="O389" s="1064"/>
      <c r="P389" s="1064"/>
    </row>
    <row r="390" spans="1:16" ht="19.5" hidden="1" x14ac:dyDescent="0.3">
      <c r="A390" s="1063" t="s">
        <v>248</v>
      </c>
      <c r="B390" s="1062"/>
      <c r="C390" s="1062"/>
      <c r="D390" s="1062"/>
      <c r="E390" s="1062"/>
      <c r="F390" s="1062"/>
      <c r="G390" s="1062"/>
      <c r="H390" s="1062"/>
      <c r="I390" s="1061"/>
      <c r="J390" s="1061"/>
      <c r="K390" s="1060"/>
      <c r="L390" s="1059"/>
      <c r="M390" s="1059"/>
      <c r="N390" s="1059"/>
      <c r="O390" s="1059"/>
      <c r="P390" s="1059"/>
    </row>
    <row r="391" spans="1:16" ht="19.5" hidden="1" x14ac:dyDescent="0.3">
      <c r="A391" s="1058" t="s">
        <v>247</v>
      </c>
      <c r="B391" s="1057"/>
      <c r="C391" s="1057"/>
      <c r="D391" s="1057"/>
      <c r="E391" s="1057"/>
      <c r="F391" s="1057"/>
      <c r="G391" s="1056"/>
      <c r="H391" s="1056"/>
      <c r="I391" s="1055"/>
      <c r="J391" s="1055"/>
      <c r="K391" s="1054"/>
      <c r="L391" s="1054"/>
      <c r="M391" s="1054"/>
      <c r="N391" s="1054"/>
      <c r="O391" s="1054"/>
      <c r="P391" s="1054"/>
    </row>
    <row r="392" spans="1:16" ht="39" hidden="1" x14ac:dyDescent="0.3">
      <c r="A392" s="1053">
        <v>1</v>
      </c>
      <c r="B392" s="1052" t="s">
        <v>246</v>
      </c>
      <c r="C392" s="1044"/>
      <c r="D392" s="1043"/>
      <c r="E392" s="1043"/>
      <c r="F392" s="1043"/>
      <c r="G392" s="1042"/>
      <c r="H392" s="1041" t="s">
        <v>33</v>
      </c>
      <c r="I392" s="1040">
        <v>2000</v>
      </c>
      <c r="J392" s="1040">
        <f>J406</f>
        <v>0</v>
      </c>
      <c r="K392" s="1039">
        <f>IF(I392&gt;0,J392*100/I392,0)</f>
        <v>0</v>
      </c>
      <c r="L392" s="1038"/>
      <c r="M392" s="1038"/>
      <c r="N392" s="1038"/>
      <c r="O392" s="1038"/>
      <c r="P392" s="1038"/>
    </row>
    <row r="393" spans="1:16" ht="19.5" hidden="1" x14ac:dyDescent="0.3">
      <c r="A393" s="1045"/>
      <c r="B393" s="1044"/>
      <c r="C393" s="1044"/>
      <c r="D393" s="1043"/>
      <c r="E393" s="1043"/>
      <c r="F393" s="1043"/>
      <c r="G393" s="1042"/>
      <c r="H393" s="1041" t="s">
        <v>56</v>
      </c>
      <c r="I393" s="1040">
        <v>98</v>
      </c>
      <c r="J393" s="1040">
        <f>J407</f>
        <v>0</v>
      </c>
      <c r="K393" s="1039">
        <f>IF(I393&gt;0,J393*100/I393,0)</f>
        <v>0</v>
      </c>
      <c r="L393" s="1038"/>
      <c r="M393" s="1038"/>
      <c r="N393" s="1038"/>
      <c r="O393" s="1038"/>
      <c r="P393" s="1038"/>
    </row>
    <row r="394" spans="1:16" ht="19.5" hidden="1" x14ac:dyDescent="0.3">
      <c r="A394" s="684"/>
      <c r="B394" s="420"/>
      <c r="C394" s="1002" t="s">
        <v>16</v>
      </c>
      <c r="D394" s="1122" t="s">
        <v>17</v>
      </c>
      <c r="E394" s="1106"/>
      <c r="F394" s="1106"/>
      <c r="G394" s="1107"/>
      <c r="H394" s="819" t="s">
        <v>12</v>
      </c>
      <c r="I394" s="429"/>
      <c r="J394" s="429"/>
      <c r="K394" s="430"/>
      <c r="L394" s="715"/>
      <c r="M394" s="715"/>
      <c r="N394" s="715"/>
      <c r="O394" s="715">
        <f t="shared" ref="O394:O402" si="55">IF(L394&gt;0,N394*100/L394,0)</f>
        <v>0</v>
      </c>
      <c r="P394" s="715">
        <f t="shared" ref="P394:P402" si="56">IF(M394&gt;0,N394*100/M394,0)</f>
        <v>0</v>
      </c>
    </row>
    <row r="395" spans="1:16" ht="18.75" hidden="1" x14ac:dyDescent="0.25">
      <c r="A395" s="684"/>
      <c r="B395" s="420"/>
      <c r="C395" s="420"/>
      <c r="D395" s="422"/>
      <c r="E395" s="520" t="s">
        <v>167</v>
      </c>
      <c r="F395" s="420"/>
      <c r="G395" s="424"/>
      <c r="H395" s="522" t="s">
        <v>12</v>
      </c>
      <c r="I395" s="429"/>
      <c r="J395" s="429"/>
      <c r="K395" s="430"/>
      <c r="L395" s="502"/>
      <c r="M395" s="502"/>
      <c r="N395" s="502"/>
      <c r="O395" s="502">
        <f t="shared" si="55"/>
        <v>0</v>
      </c>
      <c r="P395" s="502">
        <f t="shared" si="56"/>
        <v>0</v>
      </c>
    </row>
    <row r="396" spans="1:16" ht="18.75" hidden="1" x14ac:dyDescent="0.25">
      <c r="A396" s="157"/>
      <c r="B396" s="53"/>
      <c r="C396" s="53"/>
      <c r="D396" s="174"/>
      <c r="E396" s="336" t="s">
        <v>166</v>
      </c>
      <c r="F396" s="53"/>
      <c r="G396" s="55"/>
      <c r="H396" s="163" t="s">
        <v>12</v>
      </c>
      <c r="I396" s="57"/>
      <c r="J396" s="57"/>
      <c r="K396" s="58"/>
      <c r="L396" s="61"/>
      <c r="M396" s="61"/>
      <c r="N396" s="61"/>
      <c r="O396" s="61">
        <f t="shared" si="55"/>
        <v>0</v>
      </c>
      <c r="P396" s="61">
        <f t="shared" si="56"/>
        <v>0</v>
      </c>
    </row>
    <row r="397" spans="1:16" ht="18.75" hidden="1" x14ac:dyDescent="0.25">
      <c r="A397" s="684"/>
      <c r="B397" s="421"/>
      <c r="C397" s="420"/>
      <c r="D397" s="713" t="s">
        <v>20</v>
      </c>
      <c r="E397" s="420"/>
      <c r="F397" s="420"/>
      <c r="G397" s="424"/>
      <c r="H397" s="714" t="s">
        <v>12</v>
      </c>
      <c r="I397" s="679"/>
      <c r="J397" s="679"/>
      <c r="K397" s="678"/>
      <c r="L397" s="427"/>
      <c r="M397" s="427"/>
      <c r="N397" s="427"/>
      <c r="O397" s="427">
        <f t="shared" si="55"/>
        <v>0</v>
      </c>
      <c r="P397" s="427">
        <f t="shared" si="56"/>
        <v>0</v>
      </c>
    </row>
    <row r="398" spans="1:16" ht="18.75" hidden="1" x14ac:dyDescent="0.25">
      <c r="A398" s="684"/>
      <c r="B398" s="420"/>
      <c r="C398" s="420"/>
      <c r="D398" s="422"/>
      <c r="E398" s="520" t="s">
        <v>167</v>
      </c>
      <c r="F398" s="420"/>
      <c r="G398" s="424"/>
      <c r="H398" s="522" t="s">
        <v>12</v>
      </c>
      <c r="I398" s="429"/>
      <c r="J398" s="429"/>
      <c r="K398" s="430"/>
      <c r="L398" s="502"/>
      <c r="M398" s="502"/>
      <c r="N398" s="502"/>
      <c r="O398" s="502">
        <f t="shared" si="55"/>
        <v>0</v>
      </c>
      <c r="P398" s="502">
        <f t="shared" si="56"/>
        <v>0</v>
      </c>
    </row>
    <row r="399" spans="1:16" ht="18.75" hidden="1" x14ac:dyDescent="0.25">
      <c r="A399" s="157"/>
      <c r="B399" s="53"/>
      <c r="C399" s="53"/>
      <c r="D399" s="174"/>
      <c r="E399" s="336" t="s">
        <v>166</v>
      </c>
      <c r="F399" s="53"/>
      <c r="G399" s="55"/>
      <c r="H399" s="163" t="s">
        <v>12</v>
      </c>
      <c r="I399" s="57"/>
      <c r="J399" s="57"/>
      <c r="K399" s="58"/>
      <c r="L399" s="61"/>
      <c r="M399" s="61"/>
      <c r="N399" s="61"/>
      <c r="O399" s="61">
        <f t="shared" si="55"/>
        <v>0</v>
      </c>
      <c r="P399" s="61">
        <f t="shared" si="56"/>
        <v>0</v>
      </c>
    </row>
    <row r="400" spans="1:16" ht="18.75" hidden="1" x14ac:dyDescent="0.25">
      <c r="A400" s="684"/>
      <c r="B400" s="421"/>
      <c r="C400" s="420"/>
      <c r="D400" s="713" t="s">
        <v>21</v>
      </c>
      <c r="E400" s="420"/>
      <c r="F400" s="420"/>
      <c r="G400" s="424"/>
      <c r="H400" s="705" t="s">
        <v>12</v>
      </c>
      <c r="I400" s="679"/>
      <c r="J400" s="679"/>
      <c r="K400" s="678"/>
      <c r="L400" s="427"/>
      <c r="M400" s="427"/>
      <c r="N400" s="427"/>
      <c r="O400" s="427">
        <f t="shared" si="55"/>
        <v>0</v>
      </c>
      <c r="P400" s="427">
        <f t="shared" si="56"/>
        <v>0</v>
      </c>
    </row>
    <row r="401" spans="1:16" ht="18.75" hidden="1" x14ac:dyDescent="0.25">
      <c r="A401" s="684"/>
      <c r="B401" s="421"/>
      <c r="C401" s="420"/>
      <c r="D401" s="420"/>
      <c r="E401" s="520" t="s">
        <v>18</v>
      </c>
      <c r="F401" s="420"/>
      <c r="G401" s="424"/>
      <c r="H401" s="522" t="s">
        <v>12</v>
      </c>
      <c r="I401" s="679"/>
      <c r="J401" s="679"/>
      <c r="K401" s="678"/>
      <c r="L401" s="502"/>
      <c r="M401" s="502"/>
      <c r="N401" s="502"/>
      <c r="O401" s="502">
        <f t="shared" si="55"/>
        <v>0</v>
      </c>
      <c r="P401" s="502">
        <f t="shared" si="56"/>
        <v>0</v>
      </c>
    </row>
    <row r="402" spans="1:16" ht="18.75" hidden="1" x14ac:dyDescent="0.25">
      <c r="A402" s="157"/>
      <c r="B402" s="280"/>
      <c r="C402" s="53"/>
      <c r="D402" s="53"/>
      <c r="E402" s="336" t="s">
        <v>19</v>
      </c>
      <c r="F402" s="53"/>
      <c r="G402" s="55"/>
      <c r="H402" s="166" t="s">
        <v>12</v>
      </c>
      <c r="I402" s="164"/>
      <c r="J402" s="164"/>
      <c r="K402" s="165"/>
      <c r="L402" s="61"/>
      <c r="M402" s="61"/>
      <c r="N402" s="61"/>
      <c r="O402" s="61">
        <f t="shared" si="55"/>
        <v>0</v>
      </c>
      <c r="P402" s="61">
        <f t="shared" si="56"/>
        <v>0</v>
      </c>
    </row>
    <row r="403" spans="1:16" ht="19.5" hidden="1" x14ac:dyDescent="0.3">
      <c r="A403" s="683"/>
      <c r="B403" s="432"/>
      <c r="C403" s="1002" t="s">
        <v>16</v>
      </c>
      <c r="D403" s="737" t="s">
        <v>36</v>
      </c>
      <c r="E403" s="682"/>
      <c r="F403" s="682"/>
      <c r="G403" s="681"/>
      <c r="H403" s="680"/>
      <c r="I403" s="429"/>
      <c r="J403" s="429"/>
      <c r="K403" s="430"/>
      <c r="L403" s="430"/>
      <c r="M403" s="430"/>
      <c r="N403" s="430"/>
      <c r="O403" s="430"/>
      <c r="P403" s="430"/>
    </row>
    <row r="404" spans="1:16" ht="19.5" hidden="1" x14ac:dyDescent="0.3">
      <c r="A404" s="683"/>
      <c r="B404" s="432"/>
      <c r="C404" s="432"/>
      <c r="D404" s="770" t="s">
        <v>245</v>
      </c>
      <c r="E404" s="422"/>
      <c r="F404" s="422"/>
      <c r="G404" s="680"/>
      <c r="H404" s="1051"/>
      <c r="I404" s="772"/>
      <c r="J404" s="772"/>
      <c r="K404" s="715"/>
      <c r="L404" s="430"/>
      <c r="M404" s="430"/>
      <c r="N404" s="430"/>
      <c r="O404" s="430"/>
      <c r="P404" s="430"/>
    </row>
    <row r="405" spans="1:16" ht="19.5" hidden="1" x14ac:dyDescent="0.3">
      <c r="A405" s="683"/>
      <c r="B405" s="432"/>
      <c r="C405" s="432"/>
      <c r="D405" s="770" t="s">
        <v>244</v>
      </c>
      <c r="E405" s="422"/>
      <c r="F405" s="422"/>
      <c r="G405" s="680"/>
      <c r="H405" s="1051"/>
      <c r="I405" s="772"/>
      <c r="J405" s="772"/>
      <c r="K405" s="715"/>
      <c r="L405" s="430"/>
      <c r="M405" s="430"/>
      <c r="N405" s="430"/>
      <c r="O405" s="430"/>
      <c r="P405" s="430"/>
    </row>
    <row r="406" spans="1:16" ht="18.75" hidden="1" x14ac:dyDescent="0.25">
      <c r="A406" s="683"/>
      <c r="B406" s="432"/>
      <c r="C406" s="432"/>
      <c r="D406" s="423" t="s">
        <v>243</v>
      </c>
      <c r="E406" s="422"/>
      <c r="F406" s="422"/>
      <c r="G406" s="680"/>
      <c r="H406" s="825" t="s">
        <v>33</v>
      </c>
      <c r="I406" s="426">
        <v>2000</v>
      </c>
      <c r="J406" s="736"/>
      <c r="K406" s="427">
        <f>IF(I406&gt;0,J406*100/I406,0)</f>
        <v>0</v>
      </c>
      <c r="L406" s="430"/>
      <c r="M406" s="430"/>
      <c r="N406" s="430"/>
      <c r="O406" s="430"/>
      <c r="P406" s="430"/>
    </row>
    <row r="407" spans="1:16" ht="18.75" hidden="1" x14ac:dyDescent="0.25">
      <c r="A407" s="683"/>
      <c r="B407" s="432"/>
      <c r="C407" s="432"/>
      <c r="D407" s="423"/>
      <c r="E407" s="422"/>
      <c r="F407" s="422"/>
      <c r="G407" s="680"/>
      <c r="H407" s="825" t="s">
        <v>56</v>
      </c>
      <c r="I407" s="1050">
        <v>98</v>
      </c>
      <c r="J407" s="1049"/>
      <c r="K407" s="430"/>
      <c r="L407" s="430"/>
      <c r="M407" s="430"/>
      <c r="N407" s="430"/>
      <c r="O407" s="430"/>
      <c r="P407" s="430"/>
    </row>
    <row r="408" spans="1:16" ht="18.75" hidden="1" x14ac:dyDescent="0.25">
      <c r="A408" s="683"/>
      <c r="B408" s="432"/>
      <c r="C408" s="432"/>
      <c r="D408" s="423" t="s">
        <v>242</v>
      </c>
      <c r="E408" s="422"/>
      <c r="F408" s="422"/>
      <c r="G408" s="680"/>
      <c r="H408" s="825" t="s">
        <v>33</v>
      </c>
      <c r="I408" s="426">
        <v>1400</v>
      </c>
      <c r="J408" s="736"/>
      <c r="K408" s="427">
        <f>IF(I408&gt;0,J408*100/I408,0)</f>
        <v>0</v>
      </c>
      <c r="L408" s="430"/>
      <c r="M408" s="430"/>
      <c r="N408" s="430"/>
      <c r="O408" s="430"/>
      <c r="P408" s="430"/>
    </row>
    <row r="409" spans="1:16" ht="18.75" hidden="1" x14ac:dyDescent="0.25">
      <c r="A409" s="683"/>
      <c r="B409" s="432"/>
      <c r="C409" s="432"/>
      <c r="D409" s="423"/>
      <c r="E409" s="422"/>
      <c r="F409" s="422"/>
      <c r="G409" s="680"/>
      <c r="H409" s="825" t="s">
        <v>56</v>
      </c>
      <c r="I409" s="426">
        <v>82</v>
      </c>
      <c r="J409" s="736"/>
      <c r="K409" s="427">
        <f>IF(I409&gt;0,J409*100/I409,0)</f>
        <v>0</v>
      </c>
      <c r="L409" s="430"/>
      <c r="M409" s="430"/>
      <c r="N409" s="430"/>
      <c r="O409" s="430"/>
      <c r="P409" s="430"/>
    </row>
    <row r="410" spans="1:16" ht="18.75" hidden="1" x14ac:dyDescent="0.25">
      <c r="A410" s="518"/>
      <c r="B410" s="507"/>
      <c r="C410" s="507"/>
      <c r="D410" s="508" t="s">
        <v>241</v>
      </c>
      <c r="E410" s="584"/>
      <c r="F410" s="584"/>
      <c r="G410" s="513"/>
      <c r="H410" s="559" t="s">
        <v>33</v>
      </c>
      <c r="I410" s="201">
        <v>155</v>
      </c>
      <c r="J410" s="201"/>
      <c r="K410" s="502">
        <f>IF(I410&gt;0,J410*100/I410,0)</f>
        <v>0</v>
      </c>
      <c r="L410" s="501"/>
      <c r="M410" s="501"/>
      <c r="N410" s="501"/>
      <c r="O410" s="501"/>
      <c r="P410" s="501"/>
    </row>
    <row r="411" spans="1:16" ht="18.75" hidden="1" x14ac:dyDescent="0.25">
      <c r="A411" s="518"/>
      <c r="B411" s="507"/>
      <c r="C411" s="507"/>
      <c r="D411" s="508" t="s">
        <v>238</v>
      </c>
      <c r="E411" s="584"/>
      <c r="F411" s="584"/>
      <c r="G411" s="513"/>
      <c r="H411" s="559"/>
      <c r="I411" s="201"/>
      <c r="J411" s="201"/>
      <c r="K411" s="502"/>
      <c r="L411" s="501"/>
      <c r="M411" s="501"/>
      <c r="N411" s="501"/>
      <c r="O411" s="501"/>
      <c r="P411" s="501"/>
    </row>
    <row r="412" spans="1:16" ht="18.75" hidden="1" x14ac:dyDescent="0.25">
      <c r="A412" s="683"/>
      <c r="B412" s="432"/>
      <c r="C412" s="432"/>
      <c r="D412" s="423"/>
      <c r="E412" s="422"/>
      <c r="F412" s="422"/>
      <c r="G412" s="680"/>
      <c r="H412" s="825"/>
      <c r="I412" s="426"/>
      <c r="J412" s="426"/>
      <c r="K412" s="427"/>
      <c r="L412" s="430"/>
      <c r="M412" s="430"/>
      <c r="N412" s="430"/>
      <c r="O412" s="430"/>
      <c r="P412" s="430"/>
    </row>
    <row r="413" spans="1:16" ht="19.5" hidden="1" x14ac:dyDescent="0.3">
      <c r="A413" s="1047">
        <v>2</v>
      </c>
      <c r="B413" s="1046" t="s">
        <v>240</v>
      </c>
      <c r="C413" s="1043"/>
      <c r="D413" s="1043"/>
      <c r="E413" s="1043"/>
      <c r="F413" s="1043"/>
      <c r="G413" s="1042"/>
      <c r="H413" s="1041" t="s">
        <v>33</v>
      </c>
      <c r="I413" s="1040">
        <v>3240</v>
      </c>
      <c r="J413" s="1040">
        <f>J427</f>
        <v>0</v>
      </c>
      <c r="K413" s="1039">
        <f>IF(I413&gt;0,J413*100/I413,0)</f>
        <v>0</v>
      </c>
      <c r="L413" s="1038"/>
      <c r="M413" s="1038"/>
      <c r="N413" s="1038"/>
      <c r="O413" s="1038"/>
      <c r="P413" s="1038"/>
    </row>
    <row r="414" spans="1:16" ht="19.5" hidden="1" x14ac:dyDescent="0.3">
      <c r="A414" s="1045"/>
      <c r="B414" s="1044"/>
      <c r="C414" s="1043"/>
      <c r="D414" s="1043"/>
      <c r="E414" s="1043"/>
      <c r="F414" s="1043"/>
      <c r="G414" s="1042"/>
      <c r="H414" s="1041" t="s">
        <v>44</v>
      </c>
      <c r="I414" s="1040">
        <v>10000</v>
      </c>
      <c r="J414" s="1040">
        <f>J429</f>
        <v>0</v>
      </c>
      <c r="K414" s="1039">
        <f>IF(I414&gt;0,J414*100/I414,0)</f>
        <v>0</v>
      </c>
      <c r="L414" s="1038"/>
      <c r="M414" s="1038"/>
      <c r="N414" s="1038"/>
      <c r="O414" s="1038"/>
      <c r="P414" s="1038"/>
    </row>
    <row r="415" spans="1:16" ht="19.5" hidden="1" x14ac:dyDescent="0.3">
      <c r="A415" s="684"/>
      <c r="B415" s="420"/>
      <c r="C415" s="1002" t="s">
        <v>16</v>
      </c>
      <c r="D415" s="1122" t="s">
        <v>17</v>
      </c>
      <c r="E415" s="1106"/>
      <c r="F415" s="1106"/>
      <c r="G415" s="1107"/>
      <c r="H415" s="819" t="s">
        <v>12</v>
      </c>
      <c r="I415" s="429"/>
      <c r="J415" s="429"/>
      <c r="K415" s="430"/>
      <c r="L415" s="715"/>
      <c r="M415" s="715"/>
      <c r="N415" s="715"/>
      <c r="O415" s="715">
        <f t="shared" ref="O415:O423" si="57">IF(L415&gt;0,N415*100/L415,0)</f>
        <v>0</v>
      </c>
      <c r="P415" s="715">
        <f t="shared" ref="P415:P423" si="58">IF(M415&gt;0,N415*100/M415,0)</f>
        <v>0</v>
      </c>
    </row>
    <row r="416" spans="1:16" ht="18.75" hidden="1" x14ac:dyDescent="0.25">
      <c r="A416" s="684"/>
      <c r="B416" s="420"/>
      <c r="C416" s="420"/>
      <c r="D416" s="422"/>
      <c r="E416" s="520" t="s">
        <v>167</v>
      </c>
      <c r="F416" s="420"/>
      <c r="G416" s="424"/>
      <c r="H416" s="522" t="s">
        <v>12</v>
      </c>
      <c r="I416" s="429"/>
      <c r="J416" s="429"/>
      <c r="K416" s="430"/>
      <c r="L416" s="502"/>
      <c r="M416" s="502"/>
      <c r="N416" s="502"/>
      <c r="O416" s="502">
        <f t="shared" si="57"/>
        <v>0</v>
      </c>
      <c r="P416" s="502">
        <f t="shared" si="58"/>
        <v>0</v>
      </c>
    </row>
    <row r="417" spans="1:16" ht="18.75" hidden="1" x14ac:dyDescent="0.25">
      <c r="A417" s="157"/>
      <c r="B417" s="280"/>
      <c r="C417" s="53"/>
      <c r="D417" s="174"/>
      <c r="E417" s="336" t="s">
        <v>166</v>
      </c>
      <c r="F417" s="53"/>
      <c r="G417" s="55"/>
      <c r="H417" s="163" t="s">
        <v>12</v>
      </c>
      <c r="I417" s="57"/>
      <c r="J417" s="57"/>
      <c r="K417" s="58"/>
      <c r="L417" s="61"/>
      <c r="M417" s="61"/>
      <c r="N417" s="61"/>
      <c r="O417" s="61">
        <f t="shared" si="57"/>
        <v>0</v>
      </c>
      <c r="P417" s="61">
        <f t="shared" si="58"/>
        <v>0</v>
      </c>
    </row>
    <row r="418" spans="1:16" ht="18.75" hidden="1" x14ac:dyDescent="0.25">
      <c r="A418" s="684"/>
      <c r="B418" s="421"/>
      <c r="C418" s="420"/>
      <c r="D418" s="713" t="s">
        <v>20</v>
      </c>
      <c r="E418" s="420"/>
      <c r="F418" s="420"/>
      <c r="G418" s="424"/>
      <c r="H418" s="714" t="s">
        <v>12</v>
      </c>
      <c r="I418" s="679"/>
      <c r="J418" s="679"/>
      <c r="K418" s="678"/>
      <c r="L418" s="427"/>
      <c r="M418" s="427"/>
      <c r="N418" s="427"/>
      <c r="O418" s="427">
        <f t="shared" si="57"/>
        <v>0</v>
      </c>
      <c r="P418" s="427">
        <f t="shared" si="58"/>
        <v>0</v>
      </c>
    </row>
    <row r="419" spans="1:16" ht="18.75" hidden="1" x14ac:dyDescent="0.25">
      <c r="A419" s="684"/>
      <c r="B419" s="421"/>
      <c r="C419" s="420"/>
      <c r="D419" s="422"/>
      <c r="E419" s="520" t="s">
        <v>167</v>
      </c>
      <c r="F419" s="420"/>
      <c r="G419" s="424"/>
      <c r="H419" s="522" t="s">
        <v>12</v>
      </c>
      <c r="I419" s="429"/>
      <c r="J419" s="429"/>
      <c r="K419" s="430"/>
      <c r="L419" s="502"/>
      <c r="M419" s="502"/>
      <c r="N419" s="502"/>
      <c r="O419" s="502">
        <f t="shared" si="57"/>
        <v>0</v>
      </c>
      <c r="P419" s="502">
        <f t="shared" si="58"/>
        <v>0</v>
      </c>
    </row>
    <row r="420" spans="1:16" ht="18.75" hidden="1" x14ac:dyDescent="0.25">
      <c r="A420" s="157"/>
      <c r="B420" s="280"/>
      <c r="C420" s="53"/>
      <c r="D420" s="174"/>
      <c r="E420" s="336" t="s">
        <v>166</v>
      </c>
      <c r="F420" s="53"/>
      <c r="G420" s="55"/>
      <c r="H420" s="163" t="s">
        <v>12</v>
      </c>
      <c r="I420" s="57"/>
      <c r="J420" s="57"/>
      <c r="K420" s="58"/>
      <c r="L420" s="61"/>
      <c r="M420" s="61"/>
      <c r="N420" s="61"/>
      <c r="O420" s="61">
        <f t="shared" si="57"/>
        <v>0</v>
      </c>
      <c r="P420" s="61">
        <f t="shared" si="58"/>
        <v>0</v>
      </c>
    </row>
    <row r="421" spans="1:16" ht="18.75" hidden="1" x14ac:dyDescent="0.25">
      <c r="A421" s="684"/>
      <c r="B421" s="421"/>
      <c r="C421" s="421"/>
      <c r="D421" s="713" t="s">
        <v>21</v>
      </c>
      <c r="E421" s="421"/>
      <c r="F421" s="420"/>
      <c r="G421" s="424"/>
      <c r="H421" s="705" t="s">
        <v>12</v>
      </c>
      <c r="I421" s="679"/>
      <c r="J421" s="679"/>
      <c r="K421" s="678"/>
      <c r="L421" s="427"/>
      <c r="M421" s="427"/>
      <c r="N421" s="427"/>
      <c r="O421" s="427">
        <f t="shared" si="57"/>
        <v>0</v>
      </c>
      <c r="P421" s="427">
        <f t="shared" si="58"/>
        <v>0</v>
      </c>
    </row>
    <row r="422" spans="1:16" ht="18.75" hidden="1" x14ac:dyDescent="0.25">
      <c r="A422" s="684"/>
      <c r="B422" s="421"/>
      <c r="C422" s="421"/>
      <c r="D422" s="421"/>
      <c r="E422" s="603" t="s">
        <v>18</v>
      </c>
      <c r="F422" s="420"/>
      <c r="G422" s="424"/>
      <c r="H422" s="522" t="s">
        <v>12</v>
      </c>
      <c r="I422" s="679"/>
      <c r="J422" s="679"/>
      <c r="K422" s="678"/>
      <c r="L422" s="502"/>
      <c r="M422" s="502"/>
      <c r="N422" s="502"/>
      <c r="O422" s="502">
        <f t="shared" si="57"/>
        <v>0</v>
      </c>
      <c r="P422" s="502">
        <f t="shared" si="58"/>
        <v>0</v>
      </c>
    </row>
    <row r="423" spans="1:16" ht="18.75" hidden="1" x14ac:dyDescent="0.25">
      <c r="A423" s="157"/>
      <c r="B423" s="280"/>
      <c r="C423" s="280"/>
      <c r="D423" s="280"/>
      <c r="E423" s="278" t="s">
        <v>19</v>
      </c>
      <c r="F423" s="53"/>
      <c r="G423" s="55"/>
      <c r="H423" s="166" t="s">
        <v>12</v>
      </c>
      <c r="I423" s="164"/>
      <c r="J423" s="164"/>
      <c r="K423" s="165"/>
      <c r="L423" s="61"/>
      <c r="M423" s="61"/>
      <c r="N423" s="61"/>
      <c r="O423" s="61">
        <f t="shared" si="57"/>
        <v>0</v>
      </c>
      <c r="P423" s="61">
        <f t="shared" si="58"/>
        <v>0</v>
      </c>
    </row>
    <row r="424" spans="1:16" ht="19.5" hidden="1" x14ac:dyDescent="0.3">
      <c r="A424" s="683"/>
      <c r="B424" s="432"/>
      <c r="C424" s="1002" t="s">
        <v>16</v>
      </c>
      <c r="D424" s="1001" t="s">
        <v>36</v>
      </c>
      <c r="E424" s="744"/>
      <c r="F424" s="682"/>
      <c r="G424" s="681"/>
      <c r="H424" s="680"/>
      <c r="I424" s="429"/>
      <c r="J424" s="429"/>
      <c r="K424" s="430"/>
      <c r="L424" s="430"/>
      <c r="M424" s="430"/>
      <c r="N424" s="430"/>
      <c r="O424" s="430"/>
      <c r="P424" s="430"/>
    </row>
    <row r="425" spans="1:16" ht="18.75" hidden="1" x14ac:dyDescent="0.25">
      <c r="A425" s="683"/>
      <c r="B425" s="432"/>
      <c r="C425" s="432"/>
      <c r="D425" s="1048" t="s">
        <v>239</v>
      </c>
      <c r="E425" s="432"/>
      <c r="F425" s="422"/>
      <c r="G425" s="680"/>
      <c r="H425" s="583" t="s">
        <v>33</v>
      </c>
      <c r="I425" s="201">
        <v>120</v>
      </c>
      <c r="J425" s="201">
        <v>0</v>
      </c>
      <c r="K425" s="502">
        <f>IF(I425&gt;0,J425*100/I425,0)</f>
        <v>0</v>
      </c>
      <c r="L425" s="430"/>
      <c r="M425" s="430"/>
      <c r="N425" s="430"/>
      <c r="O425" s="430"/>
      <c r="P425" s="430"/>
    </row>
    <row r="426" spans="1:16" ht="18.75" hidden="1" x14ac:dyDescent="0.25">
      <c r="A426" s="683"/>
      <c r="B426" s="432"/>
      <c r="C426" s="432"/>
      <c r="D426" s="1048" t="s">
        <v>238</v>
      </c>
      <c r="E426" s="432"/>
      <c r="F426" s="422"/>
      <c r="G426" s="680"/>
      <c r="H426" s="680"/>
      <c r="I426" s="429"/>
      <c r="J426" s="429"/>
      <c r="K426" s="430"/>
      <c r="L426" s="430"/>
      <c r="M426" s="430"/>
      <c r="N426" s="430"/>
      <c r="O426" s="430"/>
      <c r="P426" s="430"/>
    </row>
    <row r="427" spans="1:16" ht="18.75" hidden="1" x14ac:dyDescent="0.25">
      <c r="A427" s="683"/>
      <c r="B427" s="432"/>
      <c r="C427" s="432"/>
      <c r="D427" s="742" t="s">
        <v>237</v>
      </c>
      <c r="E427" s="432"/>
      <c r="F427" s="422"/>
      <c r="G427" s="680"/>
      <c r="H427" s="769" t="s">
        <v>33</v>
      </c>
      <c r="I427" s="426">
        <v>3240</v>
      </c>
      <c r="J427" s="736"/>
      <c r="K427" s="427">
        <f>IF(I427&gt;0,J427*100/I427,0)</f>
        <v>0</v>
      </c>
      <c r="L427" s="430"/>
      <c r="M427" s="430"/>
      <c r="N427" s="430"/>
      <c r="O427" s="430"/>
      <c r="P427" s="430"/>
    </row>
    <row r="428" spans="1:16" ht="18.75" hidden="1" x14ac:dyDescent="0.25">
      <c r="A428" s="683"/>
      <c r="B428" s="432"/>
      <c r="C428" s="432"/>
      <c r="D428" s="742" t="s">
        <v>236</v>
      </c>
      <c r="E428" s="422"/>
      <c r="F428" s="422"/>
      <c r="G428" s="680"/>
      <c r="H428" s="680"/>
      <c r="I428" s="429"/>
      <c r="J428" s="429"/>
      <c r="K428" s="430"/>
      <c r="L428" s="430"/>
      <c r="M428" s="430"/>
      <c r="N428" s="430"/>
      <c r="O428" s="430"/>
      <c r="P428" s="430"/>
    </row>
    <row r="429" spans="1:16" ht="18.75" hidden="1" x14ac:dyDescent="0.25">
      <c r="A429" s="683"/>
      <c r="B429" s="432"/>
      <c r="C429" s="432"/>
      <c r="D429" s="742" t="s">
        <v>235</v>
      </c>
      <c r="E429" s="422"/>
      <c r="F429" s="422"/>
      <c r="G429" s="680"/>
      <c r="H429" s="769" t="s">
        <v>44</v>
      </c>
      <c r="I429" s="426">
        <v>10000</v>
      </c>
      <c r="J429" s="736"/>
      <c r="K429" s="427">
        <f>IF(I429&gt;0,J429*100/I429,0)</f>
        <v>0</v>
      </c>
      <c r="L429" s="430"/>
      <c r="M429" s="430"/>
      <c r="N429" s="430"/>
      <c r="O429" s="430"/>
      <c r="P429" s="430"/>
    </row>
    <row r="430" spans="1:16" ht="18.75" hidden="1" x14ac:dyDescent="0.25">
      <c r="A430" s="683"/>
      <c r="B430" s="432"/>
      <c r="C430" s="432"/>
      <c r="D430" s="742" t="s">
        <v>48</v>
      </c>
      <c r="E430" s="422"/>
      <c r="F430" s="420"/>
      <c r="G430" s="424"/>
      <c r="H430" s="769" t="s">
        <v>44</v>
      </c>
      <c r="I430" s="426"/>
      <c r="J430" s="736"/>
      <c r="K430" s="430"/>
      <c r="L430" s="430"/>
      <c r="M430" s="430"/>
      <c r="N430" s="430"/>
      <c r="O430" s="430"/>
      <c r="P430" s="430"/>
    </row>
    <row r="431" spans="1:16" ht="18.75" hidden="1" x14ac:dyDescent="0.25">
      <c r="A431" s="683"/>
      <c r="B431" s="432"/>
      <c r="C431" s="432"/>
      <c r="D431" s="432"/>
      <c r="E431" s="422"/>
      <c r="F431" s="422"/>
      <c r="G431" s="424"/>
      <c r="H431" s="769" t="s">
        <v>33</v>
      </c>
      <c r="I431" s="426"/>
      <c r="J431" s="736"/>
      <c r="K431" s="430"/>
      <c r="L431" s="430"/>
      <c r="M431" s="430"/>
      <c r="N431" s="430"/>
      <c r="O431" s="430"/>
      <c r="P431" s="430"/>
    </row>
    <row r="432" spans="1:16" ht="19.5" hidden="1" x14ac:dyDescent="0.3">
      <c r="A432" s="1047">
        <v>3</v>
      </c>
      <c r="B432" s="1046" t="s">
        <v>234</v>
      </c>
      <c r="C432" s="1043"/>
      <c r="D432" s="1043"/>
      <c r="E432" s="1043"/>
      <c r="F432" s="1043"/>
      <c r="G432" s="1042"/>
      <c r="H432" s="1041" t="s">
        <v>33</v>
      </c>
      <c r="I432" s="1040">
        <v>4625</v>
      </c>
      <c r="J432" s="1040">
        <f>J448+J452+J455</f>
        <v>0</v>
      </c>
      <c r="K432" s="1039">
        <f>IF(I432&gt;0,J432*100/I432,0)</f>
        <v>0</v>
      </c>
      <c r="L432" s="1038"/>
      <c r="M432" s="1038"/>
      <c r="N432" s="1038"/>
      <c r="O432" s="1038"/>
      <c r="P432" s="1038"/>
    </row>
    <row r="433" spans="1:16" ht="19.5" hidden="1" x14ac:dyDescent="0.3">
      <c r="A433" s="1045"/>
      <c r="B433" s="1044"/>
      <c r="C433" s="1043"/>
      <c r="D433" s="1043"/>
      <c r="E433" s="1043"/>
      <c r="F433" s="1043"/>
      <c r="G433" s="1042"/>
      <c r="H433" s="1041" t="s">
        <v>44</v>
      </c>
      <c r="I433" s="1040">
        <v>45000</v>
      </c>
      <c r="J433" s="1040">
        <f>J458+J461</f>
        <v>0</v>
      </c>
      <c r="K433" s="1039">
        <f>IF(I433&gt;0,J433*100/I433,0)</f>
        <v>0</v>
      </c>
      <c r="L433" s="1038"/>
      <c r="M433" s="1038"/>
      <c r="N433" s="1038"/>
      <c r="O433" s="1038"/>
      <c r="P433" s="1038"/>
    </row>
    <row r="434" spans="1:16" ht="19.5" hidden="1" x14ac:dyDescent="0.3">
      <c r="A434" s="684"/>
      <c r="B434" s="420"/>
      <c r="C434" s="1002" t="s">
        <v>16</v>
      </c>
      <c r="D434" s="1122" t="s">
        <v>17</v>
      </c>
      <c r="E434" s="1106"/>
      <c r="F434" s="1106"/>
      <c r="G434" s="1107"/>
      <c r="H434" s="819" t="s">
        <v>12</v>
      </c>
      <c r="I434" s="429"/>
      <c r="J434" s="429"/>
      <c r="K434" s="430"/>
      <c r="L434" s="715"/>
      <c r="M434" s="715"/>
      <c r="N434" s="715"/>
      <c r="O434" s="715">
        <f t="shared" ref="O434:O442" si="59">IF(L434&gt;0,N434*100/L434,0)</f>
        <v>0</v>
      </c>
      <c r="P434" s="715">
        <f t="shared" ref="P434:P442" si="60">IF(M434&gt;0,N434*100/M434,0)</f>
        <v>0</v>
      </c>
    </row>
    <row r="435" spans="1:16" ht="18.75" hidden="1" x14ac:dyDescent="0.25">
      <c r="A435" s="684"/>
      <c r="B435" s="420"/>
      <c r="C435" s="420"/>
      <c r="D435" s="422"/>
      <c r="E435" s="520" t="s">
        <v>167</v>
      </c>
      <c r="F435" s="420"/>
      <c r="G435" s="424"/>
      <c r="H435" s="522" t="s">
        <v>12</v>
      </c>
      <c r="I435" s="429"/>
      <c r="J435" s="429"/>
      <c r="K435" s="430"/>
      <c r="L435" s="502"/>
      <c r="M435" s="502"/>
      <c r="N435" s="502"/>
      <c r="O435" s="502">
        <f t="shared" si="59"/>
        <v>0</v>
      </c>
      <c r="P435" s="502">
        <f t="shared" si="60"/>
        <v>0</v>
      </c>
    </row>
    <row r="436" spans="1:16" ht="18.75" hidden="1" x14ac:dyDescent="0.25">
      <c r="A436" s="157"/>
      <c r="B436" s="280"/>
      <c r="C436" s="53"/>
      <c r="D436" s="174"/>
      <c r="E436" s="336" t="s">
        <v>166</v>
      </c>
      <c r="F436" s="53"/>
      <c r="G436" s="55"/>
      <c r="H436" s="163" t="s">
        <v>12</v>
      </c>
      <c r="I436" s="57"/>
      <c r="J436" s="57"/>
      <c r="K436" s="58"/>
      <c r="L436" s="61"/>
      <c r="M436" s="61"/>
      <c r="N436" s="61"/>
      <c r="O436" s="61">
        <f t="shared" si="59"/>
        <v>0</v>
      </c>
      <c r="P436" s="61">
        <f t="shared" si="60"/>
        <v>0</v>
      </c>
    </row>
    <row r="437" spans="1:16" ht="18.75" hidden="1" x14ac:dyDescent="0.25">
      <c r="A437" s="684"/>
      <c r="B437" s="421"/>
      <c r="C437" s="420"/>
      <c r="D437" s="713" t="s">
        <v>20</v>
      </c>
      <c r="E437" s="420"/>
      <c r="F437" s="420"/>
      <c r="G437" s="424"/>
      <c r="H437" s="714" t="s">
        <v>12</v>
      </c>
      <c r="I437" s="679"/>
      <c r="J437" s="679"/>
      <c r="K437" s="678"/>
      <c r="L437" s="427"/>
      <c r="M437" s="427"/>
      <c r="N437" s="427"/>
      <c r="O437" s="427">
        <f t="shared" si="59"/>
        <v>0</v>
      </c>
      <c r="P437" s="427">
        <f t="shared" si="60"/>
        <v>0</v>
      </c>
    </row>
    <row r="438" spans="1:16" ht="18.75" hidden="1" x14ac:dyDescent="0.25">
      <c r="A438" s="684"/>
      <c r="B438" s="421"/>
      <c r="C438" s="420"/>
      <c r="D438" s="422"/>
      <c r="E438" s="520" t="s">
        <v>167</v>
      </c>
      <c r="F438" s="420"/>
      <c r="G438" s="424"/>
      <c r="H438" s="522" t="s">
        <v>12</v>
      </c>
      <c r="I438" s="429"/>
      <c r="J438" s="429"/>
      <c r="K438" s="430"/>
      <c r="L438" s="502"/>
      <c r="M438" s="502"/>
      <c r="N438" s="502"/>
      <c r="O438" s="502">
        <f t="shared" si="59"/>
        <v>0</v>
      </c>
      <c r="P438" s="502">
        <f t="shared" si="60"/>
        <v>0</v>
      </c>
    </row>
    <row r="439" spans="1:16" ht="18.75" hidden="1" x14ac:dyDescent="0.25">
      <c r="A439" s="157"/>
      <c r="B439" s="280"/>
      <c r="C439" s="53"/>
      <c r="D439" s="174"/>
      <c r="E439" s="336" t="s">
        <v>166</v>
      </c>
      <c r="F439" s="53"/>
      <c r="G439" s="55"/>
      <c r="H439" s="163" t="s">
        <v>12</v>
      </c>
      <c r="I439" s="57"/>
      <c r="J439" s="57"/>
      <c r="K439" s="58"/>
      <c r="L439" s="61"/>
      <c r="M439" s="61"/>
      <c r="N439" s="61"/>
      <c r="O439" s="61">
        <f t="shared" si="59"/>
        <v>0</v>
      </c>
      <c r="P439" s="61">
        <f t="shared" si="60"/>
        <v>0</v>
      </c>
    </row>
    <row r="440" spans="1:16" ht="18.75" hidden="1" x14ac:dyDescent="0.25">
      <c r="A440" s="684"/>
      <c r="B440" s="421"/>
      <c r="C440" s="421"/>
      <c r="D440" s="713" t="s">
        <v>21</v>
      </c>
      <c r="E440" s="421"/>
      <c r="F440" s="421"/>
      <c r="G440" s="424"/>
      <c r="H440" s="705" t="s">
        <v>12</v>
      </c>
      <c r="I440" s="679"/>
      <c r="J440" s="679"/>
      <c r="K440" s="678"/>
      <c r="L440" s="427">
        <f ca="1">L441+L442</f>
        <v>0</v>
      </c>
      <c r="M440" s="427">
        <f>M441+M442</f>
        <v>0</v>
      </c>
      <c r="N440" s="427">
        <f>N441+N442</f>
        <v>0</v>
      </c>
      <c r="O440" s="427">
        <f t="shared" ca="1" si="59"/>
        <v>0</v>
      </c>
      <c r="P440" s="427">
        <f t="shared" si="60"/>
        <v>0</v>
      </c>
    </row>
    <row r="441" spans="1:16" ht="18.75" hidden="1" x14ac:dyDescent="0.25">
      <c r="A441" s="684"/>
      <c r="B441" s="421"/>
      <c r="C441" s="421"/>
      <c r="D441" s="421"/>
      <c r="E441" s="603" t="s">
        <v>18</v>
      </c>
      <c r="F441" s="421"/>
      <c r="G441" s="424"/>
      <c r="H441" s="522" t="s">
        <v>12</v>
      </c>
      <c r="I441" s="679"/>
      <c r="J441" s="679"/>
      <c r="K441" s="678"/>
      <c r="L441" s="502">
        <v>0</v>
      </c>
      <c r="M441" s="502">
        <v>0</v>
      </c>
      <c r="N441" s="502">
        <v>0</v>
      </c>
      <c r="O441" s="502">
        <f t="shared" si="59"/>
        <v>0</v>
      </c>
      <c r="P441" s="502">
        <f t="shared" si="60"/>
        <v>0</v>
      </c>
    </row>
    <row r="442" spans="1:16" ht="18.75" hidden="1" x14ac:dyDescent="0.25">
      <c r="A442" s="157"/>
      <c r="B442" s="280"/>
      <c r="C442" s="280"/>
      <c r="D442" s="280"/>
      <c r="E442" s="278" t="s">
        <v>19</v>
      </c>
      <c r="F442" s="280"/>
      <c r="G442" s="55"/>
      <c r="H442" s="166" t="s">
        <v>12</v>
      </c>
      <c r="I442" s="164"/>
      <c r="J442" s="164"/>
      <c r="K442" s="165"/>
      <c r="L442" s="61">
        <f ca="1">IFERROR(__xludf.DUMMYFUNCTION("IMPORTRANGE(""https://docs.google.com/spreadsheets/d/1QqKyyYR6Q21VydFLVH3TRQUabQu_ym0Zz7PgGX0-kHA/edit?usp=sharing"",""แผน!FV55"")"),0)</f>
        <v>0</v>
      </c>
      <c r="M442" s="61">
        <v>0</v>
      </c>
      <c r="N442" s="61">
        <v>0</v>
      </c>
      <c r="O442" s="61">
        <f t="shared" ca="1" si="59"/>
        <v>0</v>
      </c>
      <c r="P442" s="61">
        <f t="shared" si="60"/>
        <v>0</v>
      </c>
    </row>
    <row r="443" spans="1:16" ht="19.5" hidden="1" x14ac:dyDescent="0.3">
      <c r="A443" s="683"/>
      <c r="B443" s="432"/>
      <c r="C443" s="1002" t="s">
        <v>16</v>
      </c>
      <c r="D443" s="710" t="s">
        <v>36</v>
      </c>
      <c r="E443" s="744"/>
      <c r="F443" s="682"/>
      <c r="G443" s="681"/>
      <c r="H443" s="680"/>
      <c r="I443" s="429"/>
      <c r="J443" s="429"/>
      <c r="K443" s="430"/>
      <c r="L443" s="430"/>
      <c r="M443" s="430"/>
      <c r="N443" s="430"/>
      <c r="O443" s="430"/>
      <c r="P443" s="430"/>
    </row>
    <row r="444" spans="1:16" ht="19.5" hidden="1" x14ac:dyDescent="0.3">
      <c r="A444" s="683"/>
      <c r="B444" s="432"/>
      <c r="C444" s="432"/>
      <c r="D444" s="1036" t="s">
        <v>114</v>
      </c>
      <c r="E444" s="432"/>
      <c r="F444" s="432"/>
      <c r="G444" s="680"/>
      <c r="H444" s="424"/>
      <c r="I444" s="429"/>
      <c r="J444" s="429"/>
      <c r="K444" s="430"/>
      <c r="L444" s="430"/>
      <c r="M444" s="430"/>
      <c r="N444" s="430"/>
      <c r="O444" s="430"/>
      <c r="P444" s="430"/>
    </row>
    <row r="445" spans="1:16" ht="18.75" hidden="1" x14ac:dyDescent="0.25">
      <c r="A445" s="683"/>
      <c r="B445" s="432"/>
      <c r="C445" s="432"/>
      <c r="D445" s="432"/>
      <c r="E445" s="742" t="s">
        <v>225</v>
      </c>
      <c r="F445" s="432"/>
      <c r="G445" s="680"/>
      <c r="H445" s="424"/>
      <c r="I445" s="429"/>
      <c r="J445" s="429"/>
      <c r="K445" s="430"/>
      <c r="L445" s="430"/>
      <c r="M445" s="430"/>
      <c r="N445" s="430"/>
      <c r="O445" s="430"/>
      <c r="P445" s="430"/>
    </row>
    <row r="446" spans="1:16" ht="18.75" hidden="1" x14ac:dyDescent="0.25">
      <c r="A446" s="683"/>
      <c r="B446" s="432"/>
      <c r="C446" s="432"/>
      <c r="D446" s="432"/>
      <c r="E446" s="432"/>
      <c r="F446" s="742" t="s">
        <v>231</v>
      </c>
      <c r="G446" s="680"/>
      <c r="H446" s="825" t="s">
        <v>44</v>
      </c>
      <c r="I446" s="426">
        <v>36000</v>
      </c>
      <c r="J446" s="736"/>
      <c r="K446" s="427">
        <f>IF(I446&gt;0,J446*100/I446,0)</f>
        <v>0</v>
      </c>
      <c r="L446" s="430"/>
      <c r="M446" s="430"/>
      <c r="N446" s="430"/>
      <c r="O446" s="430"/>
      <c r="P446" s="430"/>
    </row>
    <row r="447" spans="1:16" ht="18.75" hidden="1" x14ac:dyDescent="0.25">
      <c r="A447" s="683"/>
      <c r="B447" s="432"/>
      <c r="C447" s="432"/>
      <c r="D447" s="432"/>
      <c r="E447" s="432"/>
      <c r="F447" s="742" t="s">
        <v>233</v>
      </c>
      <c r="G447" s="680"/>
      <c r="H447" s="825" t="s">
        <v>33</v>
      </c>
      <c r="I447" s="1037">
        <v>3600</v>
      </c>
      <c r="J447" s="736"/>
      <c r="K447" s="430"/>
      <c r="L447" s="430"/>
      <c r="M447" s="430"/>
      <c r="N447" s="430"/>
      <c r="O447" s="430"/>
      <c r="P447" s="430"/>
    </row>
    <row r="448" spans="1:16" ht="18.75" hidden="1" x14ac:dyDescent="0.25">
      <c r="A448" s="683"/>
      <c r="B448" s="432"/>
      <c r="C448" s="432"/>
      <c r="D448" s="432"/>
      <c r="E448" s="432"/>
      <c r="F448" s="742" t="s">
        <v>232</v>
      </c>
      <c r="G448" s="680"/>
      <c r="H448" s="825" t="s">
        <v>33</v>
      </c>
      <c r="I448" s="426"/>
      <c r="J448" s="736"/>
      <c r="K448" s="427">
        <f>IF(I448&gt;0,J448*100/I448,0)</f>
        <v>0</v>
      </c>
      <c r="L448" s="430"/>
      <c r="M448" s="430"/>
      <c r="N448" s="430"/>
      <c r="O448" s="430"/>
      <c r="P448" s="430"/>
    </row>
    <row r="449" spans="1:16" ht="18.75" hidden="1" x14ac:dyDescent="0.25">
      <c r="A449" s="683"/>
      <c r="B449" s="432"/>
      <c r="C449" s="432"/>
      <c r="D449" s="432"/>
      <c r="E449" s="742" t="s">
        <v>222</v>
      </c>
      <c r="F449" s="432"/>
      <c r="G449" s="680"/>
      <c r="H449" s="424"/>
      <c r="I449" s="1037"/>
      <c r="J449" s="429"/>
      <c r="K449" s="430"/>
      <c r="L449" s="430"/>
      <c r="M449" s="430"/>
      <c r="N449" s="430"/>
      <c r="O449" s="430"/>
      <c r="P449" s="430"/>
    </row>
    <row r="450" spans="1:16" ht="18.75" hidden="1" x14ac:dyDescent="0.25">
      <c r="A450" s="683"/>
      <c r="B450" s="432"/>
      <c r="C450" s="432"/>
      <c r="D450" s="432"/>
      <c r="E450" s="432"/>
      <c r="F450" s="742" t="s">
        <v>231</v>
      </c>
      <c r="G450" s="680"/>
      <c r="H450" s="825" t="s">
        <v>44</v>
      </c>
      <c r="I450" s="426">
        <v>9000</v>
      </c>
      <c r="J450" s="736"/>
      <c r="K450" s="427">
        <f>IF(I450&gt;0,J450*100/I450,0)</f>
        <v>0</v>
      </c>
      <c r="L450" s="430"/>
      <c r="M450" s="430"/>
      <c r="N450" s="430"/>
      <c r="O450" s="430"/>
      <c r="P450" s="430"/>
    </row>
    <row r="451" spans="1:16" ht="18.75" hidden="1" x14ac:dyDescent="0.25">
      <c r="A451" s="683"/>
      <c r="B451" s="432"/>
      <c r="C451" s="432"/>
      <c r="D451" s="432"/>
      <c r="E451" s="432"/>
      <c r="F451" s="742" t="s">
        <v>230</v>
      </c>
      <c r="G451" s="680"/>
      <c r="H451" s="825" t="s">
        <v>33</v>
      </c>
      <c r="I451" s="1037">
        <v>900</v>
      </c>
      <c r="J451" s="736"/>
      <c r="K451" s="430"/>
      <c r="L451" s="430"/>
      <c r="M451" s="430"/>
      <c r="N451" s="430"/>
      <c r="O451" s="430"/>
      <c r="P451" s="430"/>
    </row>
    <row r="452" spans="1:16" ht="18.75" hidden="1" x14ac:dyDescent="0.25">
      <c r="A452" s="683"/>
      <c r="B452" s="432"/>
      <c r="C452" s="432"/>
      <c r="D452" s="432"/>
      <c r="E452" s="432"/>
      <c r="F452" s="742" t="s">
        <v>229</v>
      </c>
      <c r="G452" s="680"/>
      <c r="H452" s="825" t="s">
        <v>33</v>
      </c>
      <c r="I452" s="426"/>
      <c r="J452" s="736"/>
      <c r="K452" s="427">
        <f>IF(I452&gt;0,J452*100/I452,0)</f>
        <v>0</v>
      </c>
      <c r="L452" s="430"/>
      <c r="M452" s="430"/>
      <c r="N452" s="430"/>
      <c r="O452" s="430"/>
      <c r="P452" s="430"/>
    </row>
    <row r="453" spans="1:16" ht="18.75" hidden="1" x14ac:dyDescent="0.25">
      <c r="A453" s="683"/>
      <c r="B453" s="432"/>
      <c r="C453" s="432"/>
      <c r="D453" s="432"/>
      <c r="E453" s="742" t="s">
        <v>228</v>
      </c>
      <c r="F453" s="422"/>
      <c r="G453" s="680"/>
      <c r="H453" s="424"/>
      <c r="I453" s="1037"/>
      <c r="J453" s="429"/>
      <c r="K453" s="430"/>
      <c r="L453" s="430"/>
      <c r="M453" s="430"/>
      <c r="N453" s="430"/>
      <c r="O453" s="430"/>
      <c r="P453" s="430"/>
    </row>
    <row r="454" spans="1:16" ht="18.75" hidden="1" x14ac:dyDescent="0.25">
      <c r="A454" s="683"/>
      <c r="B454" s="432"/>
      <c r="C454" s="432"/>
      <c r="D454" s="432"/>
      <c r="E454" s="432"/>
      <c r="F454" s="742" t="s">
        <v>227</v>
      </c>
      <c r="G454" s="680"/>
      <c r="H454" s="825" t="s">
        <v>33</v>
      </c>
      <c r="I454" s="1037">
        <v>125</v>
      </c>
      <c r="J454" s="736"/>
      <c r="K454" s="430"/>
      <c r="L454" s="430"/>
      <c r="M454" s="430"/>
      <c r="N454" s="430"/>
      <c r="O454" s="430"/>
      <c r="P454" s="430"/>
    </row>
    <row r="455" spans="1:16" ht="18.75" hidden="1" x14ac:dyDescent="0.25">
      <c r="A455" s="683"/>
      <c r="B455" s="432"/>
      <c r="C455" s="432"/>
      <c r="D455" s="432"/>
      <c r="E455" s="432"/>
      <c r="F455" s="742" t="s">
        <v>226</v>
      </c>
      <c r="G455" s="680"/>
      <c r="H455" s="825" t="s">
        <v>33</v>
      </c>
      <c r="I455" s="426"/>
      <c r="J455" s="736"/>
      <c r="K455" s="427">
        <f>IF(I455&gt;0,J455*100/I455,0)</f>
        <v>0</v>
      </c>
      <c r="L455" s="430"/>
      <c r="M455" s="430"/>
      <c r="N455" s="430"/>
      <c r="O455" s="430"/>
      <c r="P455" s="430"/>
    </row>
    <row r="456" spans="1:16" ht="19.5" hidden="1" x14ac:dyDescent="0.3">
      <c r="A456" s="683"/>
      <c r="B456" s="432"/>
      <c r="C456" s="432"/>
      <c r="D456" s="1036" t="s">
        <v>48</v>
      </c>
      <c r="E456" s="432"/>
      <c r="F456" s="422"/>
      <c r="G456" s="680"/>
      <c r="H456" s="424"/>
      <c r="I456" s="429"/>
      <c r="J456" s="429"/>
      <c r="K456" s="430"/>
      <c r="L456" s="430"/>
      <c r="M456" s="430"/>
      <c r="N456" s="430"/>
      <c r="O456" s="430"/>
      <c r="P456" s="430"/>
    </row>
    <row r="457" spans="1:16" ht="18.75" hidden="1" x14ac:dyDescent="0.25">
      <c r="A457" s="683"/>
      <c r="B457" s="432"/>
      <c r="C457" s="432"/>
      <c r="D457" s="432"/>
      <c r="E457" s="742" t="s">
        <v>225</v>
      </c>
      <c r="F457" s="422"/>
      <c r="G457" s="680"/>
      <c r="H457" s="424"/>
      <c r="I457" s="429"/>
      <c r="J457" s="429"/>
      <c r="K457" s="430"/>
      <c r="L457" s="430"/>
      <c r="M457" s="430"/>
      <c r="N457" s="430"/>
      <c r="O457" s="430"/>
      <c r="P457" s="430"/>
    </row>
    <row r="458" spans="1:16" ht="18.75" hidden="1" x14ac:dyDescent="0.25">
      <c r="A458" s="683"/>
      <c r="B458" s="432"/>
      <c r="C458" s="432"/>
      <c r="D458" s="432"/>
      <c r="E458" s="432"/>
      <c r="F458" s="423" t="s">
        <v>224</v>
      </c>
      <c r="G458" s="680"/>
      <c r="H458" s="825" t="s">
        <v>44</v>
      </c>
      <c r="I458" s="426"/>
      <c r="J458" s="736"/>
      <c r="K458" s="427">
        <f>IF(I458&gt;0,J458*100/I458,0)</f>
        <v>0</v>
      </c>
      <c r="L458" s="430"/>
      <c r="M458" s="430"/>
      <c r="N458" s="430"/>
      <c r="O458" s="430"/>
      <c r="P458" s="430"/>
    </row>
    <row r="459" spans="1:16" ht="18.75" hidden="1" x14ac:dyDescent="0.25">
      <c r="A459" s="683"/>
      <c r="B459" s="432"/>
      <c r="C459" s="432"/>
      <c r="D459" s="432"/>
      <c r="E459" s="432"/>
      <c r="F459" s="423" t="s">
        <v>223</v>
      </c>
      <c r="G459" s="680"/>
      <c r="H459" s="825" t="s">
        <v>44</v>
      </c>
      <c r="I459" s="429"/>
      <c r="J459" s="736"/>
      <c r="K459" s="430"/>
      <c r="L459" s="430"/>
      <c r="M459" s="430"/>
      <c r="N459" s="430"/>
      <c r="O459" s="430"/>
      <c r="P459" s="430"/>
    </row>
    <row r="460" spans="1:16" ht="18.75" hidden="1" x14ac:dyDescent="0.25">
      <c r="A460" s="683"/>
      <c r="B460" s="432"/>
      <c r="C460" s="432"/>
      <c r="D460" s="432"/>
      <c r="E460" s="742" t="s">
        <v>222</v>
      </c>
      <c r="F460" s="422"/>
      <c r="G460" s="680"/>
      <c r="H460" s="424"/>
      <c r="I460" s="429"/>
      <c r="J460" s="429"/>
      <c r="K460" s="430"/>
      <c r="L460" s="430"/>
      <c r="M460" s="430"/>
      <c r="N460" s="430"/>
      <c r="O460" s="430"/>
      <c r="P460" s="430"/>
    </row>
    <row r="461" spans="1:16" ht="18.75" hidden="1" x14ac:dyDescent="0.25">
      <c r="A461" s="683"/>
      <c r="B461" s="432"/>
      <c r="C461" s="432"/>
      <c r="D461" s="432"/>
      <c r="E461" s="422"/>
      <c r="F461" s="423" t="s">
        <v>221</v>
      </c>
      <c r="G461" s="680"/>
      <c r="H461" s="825" t="s">
        <v>44</v>
      </c>
      <c r="I461" s="426"/>
      <c r="J461" s="736"/>
      <c r="K461" s="427">
        <f>IF(I461&gt;0,J461*100/I461,0)</f>
        <v>0</v>
      </c>
      <c r="L461" s="430"/>
      <c r="M461" s="430"/>
      <c r="N461" s="430"/>
      <c r="O461" s="430"/>
      <c r="P461" s="430"/>
    </row>
    <row r="462" spans="1:16" ht="18.75" hidden="1" x14ac:dyDescent="0.25">
      <c r="A462" s="683"/>
      <c r="B462" s="432"/>
      <c r="C462" s="432"/>
      <c r="D462" s="432"/>
      <c r="E462" s="422"/>
      <c r="F462" s="423" t="s">
        <v>220</v>
      </c>
      <c r="G462" s="680"/>
      <c r="H462" s="825" t="s">
        <v>44</v>
      </c>
      <c r="I462" s="429"/>
      <c r="J462" s="736"/>
      <c r="K462" s="430"/>
      <c r="L462" s="430"/>
      <c r="M462" s="430"/>
      <c r="N462" s="430"/>
      <c r="O462" s="430"/>
      <c r="P462" s="430"/>
    </row>
    <row r="463" spans="1:16" ht="19.5" hidden="1" x14ac:dyDescent="0.3">
      <c r="A463" s="1035" t="s">
        <v>118</v>
      </c>
      <c r="B463" s="1034"/>
      <c r="C463" s="1034"/>
      <c r="D463" s="1033"/>
      <c r="E463" s="1033"/>
      <c r="F463" s="1033"/>
      <c r="G463" s="1032"/>
      <c r="H463" s="1032"/>
      <c r="I463" s="1031"/>
      <c r="J463" s="1031"/>
      <c r="K463" s="1030"/>
      <c r="L463" s="1030"/>
      <c r="M463" s="1030"/>
      <c r="N463" s="1030"/>
      <c r="O463" s="1030"/>
      <c r="P463" s="1030"/>
    </row>
    <row r="464" spans="1:16" ht="19.5" hidden="1" x14ac:dyDescent="0.3">
      <c r="A464" s="1025">
        <v>4</v>
      </c>
      <c r="B464" s="1029" t="s">
        <v>219</v>
      </c>
      <c r="C464" s="1028"/>
      <c r="D464" s="1009"/>
      <c r="E464" s="1009"/>
      <c r="F464" s="1009"/>
      <c r="G464" s="1009"/>
      <c r="H464" s="1008"/>
      <c r="I464" s="1007"/>
      <c r="J464" s="1007"/>
      <c r="K464" s="1006"/>
      <c r="L464" s="1006"/>
      <c r="M464" s="1006"/>
      <c r="N464" s="1006"/>
      <c r="O464" s="1006"/>
      <c r="P464" s="1006"/>
    </row>
    <row r="465" spans="1:16" ht="19.5" hidden="1" x14ac:dyDescent="0.3">
      <c r="A465" s="1027"/>
      <c r="B465" s="1000" t="s">
        <v>218</v>
      </c>
      <c r="C465" s="999"/>
      <c r="D465" s="999"/>
      <c r="E465" s="999"/>
      <c r="F465" s="999"/>
      <c r="G465" s="998"/>
      <c r="H465" s="1026" t="s">
        <v>33</v>
      </c>
      <c r="I465" s="1004">
        <v>500</v>
      </c>
      <c r="J465" s="1004">
        <f>J476</f>
        <v>0</v>
      </c>
      <c r="K465" s="1003">
        <f>IF(I465&gt;0,J465*100/I465,0)</f>
        <v>0</v>
      </c>
      <c r="L465" s="996"/>
      <c r="M465" s="996"/>
      <c r="N465" s="996"/>
      <c r="O465" s="996"/>
      <c r="P465" s="996"/>
    </row>
    <row r="466" spans="1:16" ht="19.5" hidden="1" x14ac:dyDescent="0.3">
      <c r="A466" s="684"/>
      <c r="B466" s="420"/>
      <c r="C466" s="1002" t="s">
        <v>16</v>
      </c>
      <c r="D466" s="1122" t="s">
        <v>17</v>
      </c>
      <c r="E466" s="1106"/>
      <c r="F466" s="1106"/>
      <c r="G466" s="424"/>
      <c r="H466" s="819" t="s">
        <v>12</v>
      </c>
      <c r="I466" s="429"/>
      <c r="J466" s="429"/>
      <c r="K466" s="430"/>
      <c r="L466" s="715"/>
      <c r="M466" s="715"/>
      <c r="N466" s="715"/>
      <c r="O466" s="715">
        <f t="shared" ref="O466:O474" si="61">IF(L466&gt;0,N466*100/L466,0)</f>
        <v>0</v>
      </c>
      <c r="P466" s="715">
        <f t="shared" ref="P466:P474" si="62">IF(M466&gt;0,N466*100/M466,0)</f>
        <v>0</v>
      </c>
    </row>
    <row r="467" spans="1:16" ht="18.75" hidden="1" x14ac:dyDescent="0.25">
      <c r="A467" s="684"/>
      <c r="B467" s="420"/>
      <c r="C467" s="420"/>
      <c r="D467" s="422"/>
      <c r="E467" s="520" t="s">
        <v>167</v>
      </c>
      <c r="F467" s="420"/>
      <c r="G467" s="424"/>
      <c r="H467" s="522" t="s">
        <v>12</v>
      </c>
      <c r="I467" s="429"/>
      <c r="J467" s="429"/>
      <c r="K467" s="430"/>
      <c r="L467" s="502"/>
      <c r="M467" s="502"/>
      <c r="N467" s="502"/>
      <c r="O467" s="502">
        <f t="shared" si="61"/>
        <v>0</v>
      </c>
      <c r="P467" s="502">
        <f t="shared" si="62"/>
        <v>0</v>
      </c>
    </row>
    <row r="468" spans="1:16" ht="18.75" hidden="1" x14ac:dyDescent="0.25">
      <c r="A468" s="157"/>
      <c r="B468" s="280"/>
      <c r="C468" s="53"/>
      <c r="D468" s="174"/>
      <c r="E468" s="336" t="s">
        <v>166</v>
      </c>
      <c r="F468" s="53"/>
      <c r="G468" s="55"/>
      <c r="H468" s="163" t="s">
        <v>12</v>
      </c>
      <c r="I468" s="57"/>
      <c r="J468" s="57"/>
      <c r="K468" s="58"/>
      <c r="L468" s="61"/>
      <c r="M468" s="61"/>
      <c r="N468" s="61"/>
      <c r="O468" s="61">
        <f t="shared" si="61"/>
        <v>0</v>
      </c>
      <c r="P468" s="61">
        <f t="shared" si="62"/>
        <v>0</v>
      </c>
    </row>
    <row r="469" spans="1:16" ht="18.75" hidden="1" x14ac:dyDescent="0.25">
      <c r="A469" s="684"/>
      <c r="B469" s="421"/>
      <c r="C469" s="420"/>
      <c r="D469" s="713" t="s">
        <v>20</v>
      </c>
      <c r="E469" s="420"/>
      <c r="F469" s="420"/>
      <c r="G469" s="424"/>
      <c r="H469" s="714" t="s">
        <v>12</v>
      </c>
      <c r="I469" s="679"/>
      <c r="J469" s="679"/>
      <c r="K469" s="678"/>
      <c r="L469" s="427"/>
      <c r="M469" s="427"/>
      <c r="N469" s="427"/>
      <c r="O469" s="427">
        <f t="shared" si="61"/>
        <v>0</v>
      </c>
      <c r="P469" s="427">
        <f t="shared" si="62"/>
        <v>0</v>
      </c>
    </row>
    <row r="470" spans="1:16" ht="18.75" hidden="1" x14ac:dyDescent="0.25">
      <c r="A470" s="684"/>
      <c r="B470" s="421"/>
      <c r="C470" s="420"/>
      <c r="D470" s="422"/>
      <c r="E470" s="520" t="s">
        <v>167</v>
      </c>
      <c r="F470" s="420"/>
      <c r="G470" s="424"/>
      <c r="H470" s="522" t="s">
        <v>12</v>
      </c>
      <c r="I470" s="429"/>
      <c r="J470" s="429"/>
      <c r="K470" s="430"/>
      <c r="L470" s="502"/>
      <c r="M470" s="502"/>
      <c r="N470" s="502"/>
      <c r="O470" s="502">
        <f t="shared" si="61"/>
        <v>0</v>
      </c>
      <c r="P470" s="502">
        <f t="shared" si="62"/>
        <v>0</v>
      </c>
    </row>
    <row r="471" spans="1:16" ht="18.75" hidden="1" x14ac:dyDescent="0.25">
      <c r="A471" s="157"/>
      <c r="B471" s="280"/>
      <c r="C471" s="53"/>
      <c r="D471" s="174"/>
      <c r="E471" s="336" t="s">
        <v>166</v>
      </c>
      <c r="F471" s="53"/>
      <c r="G471" s="55"/>
      <c r="H471" s="163" t="s">
        <v>12</v>
      </c>
      <c r="I471" s="57"/>
      <c r="J471" s="57"/>
      <c r="K471" s="58"/>
      <c r="L471" s="61"/>
      <c r="M471" s="61"/>
      <c r="N471" s="61"/>
      <c r="O471" s="61">
        <f t="shared" si="61"/>
        <v>0</v>
      </c>
      <c r="P471" s="61">
        <f t="shared" si="62"/>
        <v>0</v>
      </c>
    </row>
    <row r="472" spans="1:16" ht="18.75" hidden="1" x14ac:dyDescent="0.25">
      <c r="A472" s="684"/>
      <c r="B472" s="421"/>
      <c r="C472" s="420"/>
      <c r="D472" s="713" t="s">
        <v>21</v>
      </c>
      <c r="E472" s="420"/>
      <c r="F472" s="420"/>
      <c r="G472" s="424"/>
      <c r="H472" s="705" t="s">
        <v>12</v>
      </c>
      <c r="I472" s="679"/>
      <c r="J472" s="679"/>
      <c r="K472" s="678"/>
      <c r="L472" s="427"/>
      <c r="M472" s="427"/>
      <c r="N472" s="427"/>
      <c r="O472" s="427">
        <f t="shared" si="61"/>
        <v>0</v>
      </c>
      <c r="P472" s="427">
        <f t="shared" si="62"/>
        <v>0</v>
      </c>
    </row>
    <row r="473" spans="1:16" ht="18.75" hidden="1" x14ac:dyDescent="0.25">
      <c r="A473" s="684"/>
      <c r="B473" s="421"/>
      <c r="C473" s="420"/>
      <c r="D473" s="420"/>
      <c r="E473" s="520" t="s">
        <v>18</v>
      </c>
      <c r="F473" s="420"/>
      <c r="G473" s="424"/>
      <c r="H473" s="522" t="s">
        <v>12</v>
      </c>
      <c r="I473" s="679"/>
      <c r="J473" s="679"/>
      <c r="K473" s="678"/>
      <c r="L473" s="502"/>
      <c r="M473" s="502"/>
      <c r="N473" s="502"/>
      <c r="O473" s="502">
        <f t="shared" si="61"/>
        <v>0</v>
      </c>
      <c r="P473" s="502">
        <f t="shared" si="62"/>
        <v>0</v>
      </c>
    </row>
    <row r="474" spans="1:16" ht="18.75" hidden="1" x14ac:dyDescent="0.25">
      <c r="A474" s="157"/>
      <c r="B474" s="280"/>
      <c r="C474" s="53"/>
      <c r="D474" s="53"/>
      <c r="E474" s="336" t="s">
        <v>19</v>
      </c>
      <c r="F474" s="53"/>
      <c r="G474" s="55"/>
      <c r="H474" s="166" t="s">
        <v>12</v>
      </c>
      <c r="I474" s="164"/>
      <c r="J474" s="164"/>
      <c r="K474" s="165"/>
      <c r="L474" s="61"/>
      <c r="M474" s="61"/>
      <c r="N474" s="61"/>
      <c r="O474" s="61">
        <f t="shared" si="61"/>
        <v>0</v>
      </c>
      <c r="P474" s="61">
        <f t="shared" si="62"/>
        <v>0</v>
      </c>
    </row>
    <row r="475" spans="1:16" ht="19.5" hidden="1" x14ac:dyDescent="0.3">
      <c r="A475" s="683"/>
      <c r="B475" s="432"/>
      <c r="C475" s="1002" t="s">
        <v>16</v>
      </c>
      <c r="D475" s="737" t="s">
        <v>36</v>
      </c>
      <c r="E475" s="682"/>
      <c r="F475" s="682"/>
      <c r="G475" s="681"/>
      <c r="H475" s="680"/>
      <c r="I475" s="679"/>
      <c r="J475" s="679"/>
      <c r="K475" s="678"/>
      <c r="L475" s="678"/>
      <c r="M475" s="678"/>
      <c r="N475" s="678"/>
      <c r="O475" s="678"/>
      <c r="P475" s="678"/>
    </row>
    <row r="476" spans="1:16" ht="19.5" hidden="1" x14ac:dyDescent="0.3">
      <c r="A476" s="419"/>
      <c r="B476" s="421"/>
      <c r="C476" s="420"/>
      <c r="D476" s="718" t="s">
        <v>217</v>
      </c>
      <c r="E476" s="420"/>
      <c r="F476" s="420"/>
      <c r="G476" s="424"/>
      <c r="H476" s="825" t="s">
        <v>33</v>
      </c>
      <c r="I476" s="772"/>
      <c r="J476" s="772"/>
      <c r="K476" s="427">
        <f t="shared" ref="K476:K483" si="63">IF(I476&gt;0,J476*100/I476,0)</f>
        <v>0</v>
      </c>
      <c r="L476" s="430"/>
      <c r="M476" s="430"/>
      <c r="N476" s="430"/>
      <c r="O476" s="430"/>
      <c r="P476" s="430"/>
    </row>
    <row r="477" spans="1:16" ht="18.75" hidden="1" x14ac:dyDescent="0.25">
      <c r="A477" s="419"/>
      <c r="B477" s="421"/>
      <c r="C477" s="420"/>
      <c r="D477" s="420"/>
      <c r="E477" s="295" t="s">
        <v>216</v>
      </c>
      <c r="F477" s="420"/>
      <c r="G477" s="424"/>
      <c r="H477" s="825" t="s">
        <v>33</v>
      </c>
      <c r="I477" s="426">
        <v>500</v>
      </c>
      <c r="J477" s="736"/>
      <c r="K477" s="427">
        <f t="shared" si="63"/>
        <v>0</v>
      </c>
      <c r="L477" s="430"/>
      <c r="M477" s="430"/>
      <c r="N477" s="430"/>
      <c r="O477" s="430"/>
      <c r="P477" s="430"/>
    </row>
    <row r="478" spans="1:16" ht="18.75" hidden="1" x14ac:dyDescent="0.25">
      <c r="A478" s="419"/>
      <c r="B478" s="421"/>
      <c r="C478" s="420"/>
      <c r="D478" s="420"/>
      <c r="E478" s="295" t="s">
        <v>215</v>
      </c>
      <c r="F478" s="420"/>
      <c r="G478" s="424"/>
      <c r="H478" s="825" t="s">
        <v>33</v>
      </c>
      <c r="I478" s="426">
        <v>500</v>
      </c>
      <c r="J478" s="736"/>
      <c r="K478" s="427">
        <f t="shared" si="63"/>
        <v>0</v>
      </c>
      <c r="L478" s="430"/>
      <c r="M478" s="430"/>
      <c r="N478" s="430"/>
      <c r="O478" s="430"/>
      <c r="P478" s="430"/>
    </row>
    <row r="479" spans="1:16" ht="18.75" hidden="1" x14ac:dyDescent="0.25">
      <c r="A479" s="419"/>
      <c r="B479" s="421"/>
      <c r="C479" s="420"/>
      <c r="D479" s="420"/>
      <c r="E479" s="295" t="s">
        <v>214</v>
      </c>
      <c r="F479" s="420"/>
      <c r="G479" s="424"/>
      <c r="H479" s="825" t="s">
        <v>33</v>
      </c>
      <c r="I479" s="426">
        <v>500</v>
      </c>
      <c r="J479" s="736"/>
      <c r="K479" s="427">
        <f t="shared" si="63"/>
        <v>0</v>
      </c>
      <c r="L479" s="430"/>
      <c r="M479" s="430"/>
      <c r="N479" s="430"/>
      <c r="O479" s="430"/>
      <c r="P479" s="430"/>
    </row>
    <row r="480" spans="1:16" ht="18.75" hidden="1" x14ac:dyDescent="0.25">
      <c r="A480" s="419"/>
      <c r="B480" s="421"/>
      <c r="C480" s="420"/>
      <c r="D480" s="420"/>
      <c r="E480" s="994" t="s">
        <v>213</v>
      </c>
      <c r="F480" s="420"/>
      <c r="G480" s="424"/>
      <c r="H480" s="825" t="s">
        <v>33</v>
      </c>
      <c r="I480" s="426">
        <v>160</v>
      </c>
      <c r="J480" s="736"/>
      <c r="K480" s="427">
        <f t="shared" si="63"/>
        <v>0</v>
      </c>
      <c r="L480" s="430"/>
      <c r="M480" s="430"/>
      <c r="N480" s="430"/>
      <c r="O480" s="430"/>
      <c r="P480" s="430"/>
    </row>
    <row r="481" spans="1:16" ht="18.75" hidden="1" x14ac:dyDescent="0.25">
      <c r="A481" s="419"/>
      <c r="B481" s="421"/>
      <c r="C481" s="420"/>
      <c r="D481" s="295"/>
      <c r="E481" s="295" t="s">
        <v>212</v>
      </c>
      <c r="F481" s="420"/>
      <c r="G481" s="424"/>
      <c r="H481" s="825" t="s">
        <v>33</v>
      </c>
      <c r="I481" s="426">
        <v>100</v>
      </c>
      <c r="J481" s="426"/>
      <c r="K481" s="427">
        <f t="shared" si="63"/>
        <v>0</v>
      </c>
      <c r="L481" s="430"/>
      <c r="M481" s="430"/>
      <c r="N481" s="430"/>
      <c r="O481" s="430"/>
      <c r="P481" s="430"/>
    </row>
    <row r="482" spans="1:16" ht="19.5" hidden="1" x14ac:dyDescent="0.3">
      <c r="A482" s="419"/>
      <c r="B482" s="421"/>
      <c r="C482" s="420"/>
      <c r="D482" s="718" t="s">
        <v>48</v>
      </c>
      <c r="E482" s="420"/>
      <c r="F482" s="420"/>
      <c r="G482" s="424"/>
      <c r="H482" s="825" t="s">
        <v>33</v>
      </c>
      <c r="I482" s="426">
        <v>500</v>
      </c>
      <c r="J482" s="736"/>
      <c r="K482" s="427">
        <f t="shared" si="63"/>
        <v>0</v>
      </c>
      <c r="L482" s="430"/>
      <c r="M482" s="430"/>
      <c r="N482" s="430"/>
      <c r="O482" s="430"/>
      <c r="P482" s="430"/>
    </row>
    <row r="483" spans="1:16" ht="19.5" hidden="1" x14ac:dyDescent="0.3">
      <c r="A483" s="1025">
        <v>5</v>
      </c>
      <c r="B483" s="1010" t="s">
        <v>211</v>
      </c>
      <c r="C483" s="1009"/>
      <c r="D483" s="1009"/>
      <c r="E483" s="1009"/>
      <c r="F483" s="1009"/>
      <c r="G483" s="1008"/>
      <c r="H483" s="1024" t="s">
        <v>33</v>
      </c>
      <c r="I483" s="1023">
        <f>I503</f>
        <v>0</v>
      </c>
      <c r="J483" s="1023">
        <f>J503</f>
        <v>0</v>
      </c>
      <c r="K483" s="1022">
        <f t="shared" si="63"/>
        <v>0</v>
      </c>
      <c r="L483" s="1006"/>
      <c r="M483" s="1006"/>
      <c r="N483" s="1006"/>
      <c r="O483" s="1006"/>
      <c r="P483" s="1006"/>
    </row>
    <row r="484" spans="1:16" ht="19.5" hidden="1" x14ac:dyDescent="0.3">
      <c r="A484" s="684"/>
      <c r="B484" s="420"/>
      <c r="C484" s="1002" t="s">
        <v>16</v>
      </c>
      <c r="D484" s="1122" t="s">
        <v>17</v>
      </c>
      <c r="E484" s="1106"/>
      <c r="F484" s="1106"/>
      <c r="G484" s="1107"/>
      <c r="H484" s="819" t="s">
        <v>12</v>
      </c>
      <c r="I484" s="429"/>
      <c r="J484" s="429"/>
      <c r="K484" s="430"/>
      <c r="L484" s="715"/>
      <c r="M484" s="715"/>
      <c r="N484" s="715"/>
      <c r="O484" s="715">
        <f t="shared" ref="O484:O492" si="64">IF(L484&gt;0,N484*100/L484,0)</f>
        <v>0</v>
      </c>
      <c r="P484" s="715">
        <f t="shared" ref="P484:P492" si="65">IF(M484&gt;0,N484*100/M484,0)</f>
        <v>0</v>
      </c>
    </row>
    <row r="485" spans="1:16" ht="18.75" hidden="1" x14ac:dyDescent="0.25">
      <c r="A485" s="684"/>
      <c r="B485" s="420"/>
      <c r="C485" s="420"/>
      <c r="D485" s="422"/>
      <c r="E485" s="520" t="s">
        <v>167</v>
      </c>
      <c r="F485" s="420"/>
      <c r="G485" s="424"/>
      <c r="H485" s="522" t="s">
        <v>12</v>
      </c>
      <c r="I485" s="429"/>
      <c r="J485" s="429"/>
      <c r="K485" s="430"/>
      <c r="L485" s="502"/>
      <c r="M485" s="502"/>
      <c r="N485" s="502"/>
      <c r="O485" s="502">
        <f t="shared" si="64"/>
        <v>0</v>
      </c>
      <c r="P485" s="502">
        <f t="shared" si="65"/>
        <v>0</v>
      </c>
    </row>
    <row r="486" spans="1:16" ht="18.75" hidden="1" x14ac:dyDescent="0.25">
      <c r="A486" s="157"/>
      <c r="B486" s="280"/>
      <c r="C486" s="53"/>
      <c r="D486" s="174"/>
      <c r="E486" s="336" t="s">
        <v>166</v>
      </c>
      <c r="F486" s="53"/>
      <c r="G486" s="55"/>
      <c r="H486" s="163" t="s">
        <v>12</v>
      </c>
      <c r="I486" s="57"/>
      <c r="J486" s="57"/>
      <c r="K486" s="58"/>
      <c r="L486" s="61"/>
      <c r="M486" s="61"/>
      <c r="N486" s="61"/>
      <c r="O486" s="61">
        <f t="shared" si="64"/>
        <v>0</v>
      </c>
      <c r="P486" s="61">
        <f t="shared" si="65"/>
        <v>0</v>
      </c>
    </row>
    <row r="487" spans="1:16" ht="18.75" hidden="1" x14ac:dyDescent="0.25">
      <c r="A487" s="684"/>
      <c r="B487" s="421"/>
      <c r="C487" s="420"/>
      <c r="D487" s="713" t="s">
        <v>20</v>
      </c>
      <c r="E487" s="420"/>
      <c r="F487" s="420"/>
      <c r="G487" s="424"/>
      <c r="H487" s="714" t="s">
        <v>12</v>
      </c>
      <c r="I487" s="679"/>
      <c r="J487" s="679"/>
      <c r="K487" s="678"/>
      <c r="L487" s="427"/>
      <c r="M487" s="427"/>
      <c r="N487" s="427"/>
      <c r="O487" s="427">
        <f t="shared" si="64"/>
        <v>0</v>
      </c>
      <c r="P487" s="427">
        <f t="shared" si="65"/>
        <v>0</v>
      </c>
    </row>
    <row r="488" spans="1:16" ht="18.75" hidden="1" x14ac:dyDescent="0.25">
      <c r="A488" s="684"/>
      <c r="B488" s="421"/>
      <c r="C488" s="420"/>
      <c r="D488" s="422"/>
      <c r="E488" s="520" t="s">
        <v>167</v>
      </c>
      <c r="F488" s="420"/>
      <c r="G488" s="424"/>
      <c r="H488" s="522" t="s">
        <v>12</v>
      </c>
      <c r="I488" s="429"/>
      <c r="J488" s="429"/>
      <c r="K488" s="430"/>
      <c r="L488" s="502"/>
      <c r="M488" s="502"/>
      <c r="N488" s="502"/>
      <c r="O488" s="502">
        <f t="shared" si="64"/>
        <v>0</v>
      </c>
      <c r="P488" s="502">
        <f t="shared" si="65"/>
        <v>0</v>
      </c>
    </row>
    <row r="489" spans="1:16" ht="18.75" hidden="1" x14ac:dyDescent="0.25">
      <c r="A489" s="157"/>
      <c r="B489" s="280"/>
      <c r="C489" s="53"/>
      <c r="D489" s="174"/>
      <c r="E489" s="336" t="s">
        <v>166</v>
      </c>
      <c r="F489" s="53"/>
      <c r="G489" s="55"/>
      <c r="H489" s="163" t="s">
        <v>12</v>
      </c>
      <c r="I489" s="57"/>
      <c r="J489" s="57"/>
      <c r="K489" s="58"/>
      <c r="L489" s="61"/>
      <c r="M489" s="61"/>
      <c r="N489" s="61"/>
      <c r="O489" s="61">
        <f t="shared" si="64"/>
        <v>0</v>
      </c>
      <c r="P489" s="61">
        <f t="shared" si="65"/>
        <v>0</v>
      </c>
    </row>
    <row r="490" spans="1:16" ht="18.75" hidden="1" x14ac:dyDescent="0.25">
      <c r="A490" s="684"/>
      <c r="B490" s="421"/>
      <c r="C490" s="420"/>
      <c r="D490" s="713" t="s">
        <v>21</v>
      </c>
      <c r="E490" s="420"/>
      <c r="F490" s="420"/>
      <c r="G490" s="424"/>
      <c r="H490" s="705" t="s">
        <v>12</v>
      </c>
      <c r="I490" s="679"/>
      <c r="J490" s="679"/>
      <c r="K490" s="678"/>
      <c r="L490" s="427"/>
      <c r="M490" s="427"/>
      <c r="N490" s="427"/>
      <c r="O490" s="427">
        <f t="shared" si="64"/>
        <v>0</v>
      </c>
      <c r="P490" s="427">
        <f t="shared" si="65"/>
        <v>0</v>
      </c>
    </row>
    <row r="491" spans="1:16" ht="18.75" hidden="1" x14ac:dyDescent="0.25">
      <c r="A491" s="684"/>
      <c r="B491" s="421"/>
      <c r="C491" s="420"/>
      <c r="D491" s="420"/>
      <c r="E491" s="520" t="s">
        <v>18</v>
      </c>
      <c r="F491" s="420"/>
      <c r="G491" s="424"/>
      <c r="H491" s="522" t="s">
        <v>12</v>
      </c>
      <c r="I491" s="679"/>
      <c r="J491" s="679"/>
      <c r="K491" s="678"/>
      <c r="L491" s="502"/>
      <c r="M491" s="502"/>
      <c r="N491" s="502"/>
      <c r="O491" s="502">
        <f t="shared" si="64"/>
        <v>0</v>
      </c>
      <c r="P491" s="502">
        <f t="shared" si="65"/>
        <v>0</v>
      </c>
    </row>
    <row r="492" spans="1:16" ht="18.75" hidden="1" x14ac:dyDescent="0.25">
      <c r="A492" s="157"/>
      <c r="B492" s="280"/>
      <c r="C492" s="53"/>
      <c r="D492" s="53"/>
      <c r="E492" s="336" t="s">
        <v>19</v>
      </c>
      <c r="F492" s="53"/>
      <c r="G492" s="55"/>
      <c r="H492" s="166" t="s">
        <v>12</v>
      </c>
      <c r="I492" s="164"/>
      <c r="J492" s="164"/>
      <c r="K492" s="165"/>
      <c r="L492" s="61"/>
      <c r="M492" s="61"/>
      <c r="N492" s="61"/>
      <c r="O492" s="61">
        <f t="shared" si="64"/>
        <v>0</v>
      </c>
      <c r="P492" s="61">
        <f t="shared" si="65"/>
        <v>0</v>
      </c>
    </row>
    <row r="493" spans="1:16" ht="19.5" hidden="1" x14ac:dyDescent="0.3">
      <c r="A493" s="683"/>
      <c r="B493" s="432"/>
      <c r="C493" s="1002" t="s">
        <v>16</v>
      </c>
      <c r="D493" s="737" t="s">
        <v>36</v>
      </c>
      <c r="E493" s="682"/>
      <c r="F493" s="682"/>
      <c r="G493" s="681"/>
      <c r="H493" s="680"/>
      <c r="I493" s="679"/>
      <c r="J493" s="679"/>
      <c r="K493" s="678"/>
      <c r="L493" s="678"/>
      <c r="M493" s="678"/>
      <c r="N493" s="678"/>
      <c r="O493" s="678"/>
      <c r="P493" s="678"/>
    </row>
    <row r="494" spans="1:16" ht="18.75" hidden="1" x14ac:dyDescent="0.25">
      <c r="A494" s="632"/>
      <c r="B494" s="421"/>
      <c r="C494" s="420"/>
      <c r="D494" s="422"/>
      <c r="E494" s="706" t="s">
        <v>210</v>
      </c>
      <c r="F494" s="422"/>
      <c r="G494" s="680"/>
      <c r="H494" s="769" t="s">
        <v>209</v>
      </c>
      <c r="I494" s="426">
        <v>21</v>
      </c>
      <c r="J494" s="736"/>
      <c r="K494" s="767">
        <f>IF(I494&gt;0,J494*100/I494,0)</f>
        <v>0</v>
      </c>
      <c r="L494" s="678"/>
      <c r="M494" s="678"/>
      <c r="N494" s="430"/>
      <c r="O494" s="678"/>
      <c r="P494" s="678"/>
    </row>
    <row r="495" spans="1:16" ht="19.5" hidden="1" x14ac:dyDescent="0.3">
      <c r="A495" s="1020"/>
      <c r="B495" s="1019"/>
      <c r="C495" s="1018"/>
      <c r="D495" s="1016"/>
      <c r="E495" s="1017" t="s">
        <v>208</v>
      </c>
      <c r="F495" s="1016"/>
      <c r="G495" s="1015"/>
      <c r="H495" s="992" t="s">
        <v>32</v>
      </c>
      <c r="I495" s="772">
        <v>6894</v>
      </c>
      <c r="J495" s="772"/>
      <c r="K495" s="771">
        <f>IF(I495&gt;0,J495*100/I495,0)</f>
        <v>0</v>
      </c>
      <c r="L495" s="1014"/>
      <c r="M495" s="1014"/>
      <c r="N495" s="1021"/>
      <c r="O495" s="1014"/>
      <c r="P495" s="1014"/>
    </row>
    <row r="496" spans="1:16" ht="18.75" hidden="1" x14ac:dyDescent="0.25">
      <c r="A496" s="632"/>
      <c r="B496" s="421"/>
      <c r="C496" s="420"/>
      <c r="D496" s="422"/>
      <c r="E496" s="422"/>
      <c r="F496" s="706" t="s">
        <v>207</v>
      </c>
      <c r="G496" s="680"/>
      <c r="H496" s="769" t="s">
        <v>32</v>
      </c>
      <c r="I496" s="426">
        <v>6644</v>
      </c>
      <c r="J496" s="426"/>
      <c r="K496" s="427">
        <f>IF(I496&gt;0,J496*100/I496,0)</f>
        <v>0</v>
      </c>
      <c r="L496" s="678"/>
      <c r="M496" s="678"/>
      <c r="N496" s="430"/>
      <c r="O496" s="678"/>
      <c r="P496" s="678"/>
    </row>
    <row r="497" spans="1:16" ht="18.75" hidden="1" x14ac:dyDescent="0.25">
      <c r="A497" s="632"/>
      <c r="B497" s="421"/>
      <c r="C497" s="420"/>
      <c r="D497" s="422"/>
      <c r="E497" s="423"/>
      <c r="F497" s="706" t="s">
        <v>206</v>
      </c>
      <c r="G497" s="680"/>
      <c r="H497" s="769" t="s">
        <v>32</v>
      </c>
      <c r="I497" s="426">
        <v>250</v>
      </c>
      <c r="J497" s="426"/>
      <c r="K497" s="767"/>
      <c r="L497" s="678"/>
      <c r="M497" s="678"/>
      <c r="N497" s="678"/>
      <c r="O497" s="678"/>
      <c r="P497" s="678"/>
    </row>
    <row r="498" spans="1:16" ht="19.5" hidden="1" x14ac:dyDescent="0.3">
      <c r="A498" s="1020"/>
      <c r="B498" s="1019"/>
      <c r="C498" s="1018"/>
      <c r="D498" s="1016"/>
      <c r="E498" s="1017" t="s">
        <v>144</v>
      </c>
      <c r="F498" s="1016"/>
      <c r="G498" s="1015"/>
      <c r="H498" s="992" t="s">
        <v>33</v>
      </c>
      <c r="I498" s="772">
        <v>7550</v>
      </c>
      <c r="J498" s="772"/>
      <c r="K498" s="771">
        <f>IF(I498&gt;0,J498*100/I498,0)</f>
        <v>0</v>
      </c>
      <c r="L498" s="1014"/>
      <c r="M498" s="1014"/>
      <c r="N498" s="1014"/>
      <c r="O498" s="1014"/>
      <c r="P498" s="1014"/>
    </row>
    <row r="499" spans="1:16" ht="18.75" hidden="1" x14ac:dyDescent="0.25">
      <c r="A499" s="632"/>
      <c r="B499" s="421"/>
      <c r="C499" s="420"/>
      <c r="D499" s="422"/>
      <c r="E499" s="422"/>
      <c r="F499" s="706" t="s">
        <v>207</v>
      </c>
      <c r="G499" s="680"/>
      <c r="H499" s="769" t="s">
        <v>33</v>
      </c>
      <c r="I499" s="426">
        <v>7300</v>
      </c>
      <c r="J499" s="426"/>
      <c r="K499" s="427">
        <f>IF(I499&gt;0,J499*100/I499,0)</f>
        <v>0</v>
      </c>
      <c r="L499" s="678"/>
      <c r="M499" s="678"/>
      <c r="N499" s="430"/>
      <c r="O499" s="678"/>
      <c r="P499" s="678"/>
    </row>
    <row r="500" spans="1:16" ht="18.75" hidden="1" x14ac:dyDescent="0.25">
      <c r="A500" s="632"/>
      <c r="B500" s="421"/>
      <c r="C500" s="420"/>
      <c r="D500" s="422"/>
      <c r="E500" s="423"/>
      <c r="F500" s="706" t="s">
        <v>206</v>
      </c>
      <c r="G500" s="680"/>
      <c r="H500" s="769" t="s">
        <v>33</v>
      </c>
      <c r="I500" s="426">
        <v>250</v>
      </c>
      <c r="J500" s="426"/>
      <c r="K500" s="767"/>
      <c r="L500" s="678"/>
      <c r="M500" s="678"/>
      <c r="N500" s="678"/>
      <c r="O500" s="678"/>
      <c r="P500" s="678"/>
    </row>
    <row r="501" spans="1:16" ht="18.75" hidden="1" x14ac:dyDescent="0.25">
      <c r="A501" s="632"/>
      <c r="B501" s="421"/>
      <c r="C501" s="420"/>
      <c r="D501" s="422"/>
      <c r="E501" s="706" t="s">
        <v>205</v>
      </c>
      <c r="F501" s="422"/>
      <c r="G501" s="680"/>
      <c r="H501" s="769" t="s">
        <v>33</v>
      </c>
      <c r="I501" s="426"/>
      <c r="J501" s="426"/>
      <c r="K501" s="767">
        <f>IF(I501&gt;0,J501*100/I501,0)</f>
        <v>0</v>
      </c>
      <c r="L501" s="678"/>
      <c r="M501" s="678"/>
      <c r="N501" s="678"/>
      <c r="O501" s="678"/>
      <c r="P501" s="678"/>
    </row>
    <row r="502" spans="1:16" ht="18.75" hidden="1" x14ac:dyDescent="0.25">
      <c r="A502" s="632"/>
      <c r="B502" s="421"/>
      <c r="C502" s="420"/>
      <c r="D502" s="422"/>
      <c r="E502" s="422"/>
      <c r="F502" s="422"/>
      <c r="G502" s="680"/>
      <c r="H502" s="769" t="s">
        <v>44</v>
      </c>
      <c r="I502" s="426"/>
      <c r="J502" s="426"/>
      <c r="K502" s="427">
        <f>IF(I502&gt;0,J502*100/I502,0)</f>
        <v>0</v>
      </c>
      <c r="L502" s="678"/>
      <c r="M502" s="678"/>
      <c r="N502" s="678"/>
      <c r="O502" s="678"/>
      <c r="P502" s="678"/>
    </row>
    <row r="503" spans="1:16" ht="18.75" hidden="1" x14ac:dyDescent="0.25">
      <c r="A503" s="632"/>
      <c r="B503" s="421"/>
      <c r="C503" s="420"/>
      <c r="D503" s="422"/>
      <c r="E503" s="706" t="s">
        <v>204</v>
      </c>
      <c r="F503" s="422"/>
      <c r="G503" s="680"/>
      <c r="H503" s="769" t="s">
        <v>33</v>
      </c>
      <c r="I503" s="426"/>
      <c r="J503" s="426"/>
      <c r="K503" s="767">
        <f>IF(I503&gt;0,J503*100/I503,0)</f>
        <v>0</v>
      </c>
      <c r="L503" s="678"/>
      <c r="M503" s="678"/>
      <c r="N503" s="678"/>
      <c r="O503" s="678"/>
      <c r="P503" s="678"/>
    </row>
    <row r="504" spans="1:16" ht="18.75" hidden="1" x14ac:dyDescent="0.25">
      <c r="A504" s="631"/>
      <c r="B504" s="676"/>
      <c r="C504" s="629"/>
      <c r="D504" s="799"/>
      <c r="E504" s="799"/>
      <c r="F504" s="799"/>
      <c r="G504" s="798"/>
      <c r="H504" s="1013" t="s">
        <v>44</v>
      </c>
      <c r="I504" s="1012"/>
      <c r="J504" s="1012"/>
      <c r="K504" s="624">
        <f>IF(I504&gt;0,J504*100/I504,0)</f>
        <v>0</v>
      </c>
      <c r="L504" s="795"/>
      <c r="M504" s="795"/>
      <c r="N504" s="795"/>
      <c r="O504" s="795"/>
      <c r="P504" s="795"/>
    </row>
    <row r="505" spans="1:16" ht="19.5" hidden="1" x14ac:dyDescent="0.3">
      <c r="A505" s="1011">
        <v>6</v>
      </c>
      <c r="B505" s="1010" t="s">
        <v>203</v>
      </c>
      <c r="C505" s="1009"/>
      <c r="D505" s="1009"/>
      <c r="E505" s="1009"/>
      <c r="F505" s="1009"/>
      <c r="G505" s="1008"/>
      <c r="H505" s="1008"/>
      <c r="I505" s="1007"/>
      <c r="J505" s="1007"/>
      <c r="K505" s="1006"/>
      <c r="L505" s="1006"/>
      <c r="M505" s="1006"/>
      <c r="N505" s="1006"/>
      <c r="O505" s="1006"/>
      <c r="P505" s="1006"/>
    </row>
    <row r="506" spans="1:16" ht="19.5" hidden="1" x14ac:dyDescent="0.3">
      <c r="A506" s="999"/>
      <c r="B506" s="1000" t="s">
        <v>202</v>
      </c>
      <c r="C506" s="999"/>
      <c r="D506" s="999"/>
      <c r="E506" s="999"/>
      <c r="F506" s="999"/>
      <c r="G506" s="998"/>
      <c r="H506" s="1005" t="s">
        <v>44</v>
      </c>
      <c r="I506" s="1004">
        <f>I517</f>
        <v>0</v>
      </c>
      <c r="J506" s="1004">
        <f>J517</f>
        <v>0</v>
      </c>
      <c r="K506" s="1003">
        <f>IF(I506&gt;0,J506*100/I506,0)</f>
        <v>0</v>
      </c>
      <c r="L506" s="996"/>
      <c r="M506" s="996"/>
      <c r="N506" s="996"/>
      <c r="O506" s="996"/>
      <c r="P506" s="996"/>
    </row>
    <row r="507" spans="1:16" ht="19.5" hidden="1" x14ac:dyDescent="0.3">
      <c r="A507" s="684"/>
      <c r="B507" s="420"/>
      <c r="C507" s="1002" t="s">
        <v>16</v>
      </c>
      <c r="D507" s="1122" t="s">
        <v>17</v>
      </c>
      <c r="E507" s="1106"/>
      <c r="F507" s="1106"/>
      <c r="G507" s="1107"/>
      <c r="H507" s="819" t="s">
        <v>12</v>
      </c>
      <c r="I507" s="429"/>
      <c r="J507" s="429"/>
      <c r="K507" s="430"/>
      <c r="L507" s="715"/>
      <c r="M507" s="715"/>
      <c r="N507" s="715"/>
      <c r="O507" s="715">
        <f t="shared" ref="O507:O515" si="66">IF(L507&gt;0,N507*100/L507,0)</f>
        <v>0</v>
      </c>
      <c r="P507" s="715">
        <f t="shared" ref="P507:P515" si="67">IF(M507&gt;0,N507*100/M507,0)</f>
        <v>0</v>
      </c>
    </row>
    <row r="508" spans="1:16" ht="18.75" hidden="1" x14ac:dyDescent="0.25">
      <c r="A508" s="684"/>
      <c r="B508" s="420"/>
      <c r="C508" s="420"/>
      <c r="D508" s="422"/>
      <c r="E508" s="520" t="s">
        <v>167</v>
      </c>
      <c r="F508" s="420"/>
      <c r="G508" s="424"/>
      <c r="H508" s="522" t="s">
        <v>12</v>
      </c>
      <c r="I508" s="429"/>
      <c r="J508" s="429"/>
      <c r="K508" s="430"/>
      <c r="L508" s="502"/>
      <c r="M508" s="502"/>
      <c r="N508" s="502"/>
      <c r="O508" s="502">
        <f t="shared" si="66"/>
        <v>0</v>
      </c>
      <c r="P508" s="502">
        <f t="shared" si="67"/>
        <v>0</v>
      </c>
    </row>
    <row r="509" spans="1:16" ht="18.75" hidden="1" x14ac:dyDescent="0.25">
      <c r="A509" s="157"/>
      <c r="B509" s="280"/>
      <c r="C509" s="53"/>
      <c r="D509" s="174"/>
      <c r="E509" s="336" t="s">
        <v>166</v>
      </c>
      <c r="F509" s="53"/>
      <c r="G509" s="55"/>
      <c r="H509" s="163" t="s">
        <v>12</v>
      </c>
      <c r="I509" s="57"/>
      <c r="J509" s="57"/>
      <c r="K509" s="58"/>
      <c r="L509" s="61"/>
      <c r="M509" s="61"/>
      <c r="N509" s="61"/>
      <c r="O509" s="61">
        <f t="shared" si="66"/>
        <v>0</v>
      </c>
      <c r="P509" s="61">
        <f t="shared" si="67"/>
        <v>0</v>
      </c>
    </row>
    <row r="510" spans="1:16" ht="18.75" hidden="1" x14ac:dyDescent="0.25">
      <c r="A510" s="684"/>
      <c r="B510" s="421"/>
      <c r="C510" s="420"/>
      <c r="D510" s="713" t="s">
        <v>20</v>
      </c>
      <c r="E510" s="420"/>
      <c r="F510" s="420"/>
      <c r="G510" s="424"/>
      <c r="H510" s="714" t="s">
        <v>12</v>
      </c>
      <c r="I510" s="679"/>
      <c r="J510" s="679"/>
      <c r="K510" s="678"/>
      <c r="L510" s="427"/>
      <c r="M510" s="427"/>
      <c r="N510" s="427"/>
      <c r="O510" s="427">
        <f t="shared" si="66"/>
        <v>0</v>
      </c>
      <c r="P510" s="427">
        <f t="shared" si="67"/>
        <v>0</v>
      </c>
    </row>
    <row r="511" spans="1:16" ht="18.75" hidden="1" x14ac:dyDescent="0.25">
      <c r="A511" s="684"/>
      <c r="B511" s="421"/>
      <c r="C511" s="420"/>
      <c r="D511" s="422"/>
      <c r="E511" s="520" t="s">
        <v>167</v>
      </c>
      <c r="F511" s="420"/>
      <c r="G511" s="424"/>
      <c r="H511" s="522" t="s">
        <v>12</v>
      </c>
      <c r="I511" s="429"/>
      <c r="J511" s="429"/>
      <c r="K511" s="430"/>
      <c r="L511" s="502"/>
      <c r="M511" s="502"/>
      <c r="N511" s="502"/>
      <c r="O511" s="502">
        <f t="shared" si="66"/>
        <v>0</v>
      </c>
      <c r="P511" s="502">
        <f t="shared" si="67"/>
        <v>0</v>
      </c>
    </row>
    <row r="512" spans="1:16" ht="18.75" hidden="1" x14ac:dyDescent="0.25">
      <c r="A512" s="157"/>
      <c r="B512" s="280"/>
      <c r="C512" s="53"/>
      <c r="D512" s="174"/>
      <c r="E512" s="336" t="s">
        <v>166</v>
      </c>
      <c r="F512" s="53"/>
      <c r="G512" s="55"/>
      <c r="H512" s="163" t="s">
        <v>12</v>
      </c>
      <c r="I512" s="57"/>
      <c r="J512" s="57"/>
      <c r="K512" s="58"/>
      <c r="L512" s="61"/>
      <c r="M512" s="61"/>
      <c r="N512" s="61"/>
      <c r="O512" s="61">
        <f t="shared" si="66"/>
        <v>0</v>
      </c>
      <c r="P512" s="61">
        <f t="shared" si="67"/>
        <v>0</v>
      </c>
    </row>
    <row r="513" spans="1:16" ht="18.75" hidden="1" x14ac:dyDescent="0.25">
      <c r="A513" s="684"/>
      <c r="B513" s="421"/>
      <c r="C513" s="421"/>
      <c r="D513" s="713" t="s">
        <v>21</v>
      </c>
      <c r="E513" s="420"/>
      <c r="F513" s="420"/>
      <c r="G513" s="424"/>
      <c r="H513" s="705" t="s">
        <v>12</v>
      </c>
      <c r="I513" s="679"/>
      <c r="J513" s="679"/>
      <c r="K513" s="678"/>
      <c r="L513" s="427"/>
      <c r="M513" s="427"/>
      <c r="N513" s="427"/>
      <c r="O513" s="427">
        <f t="shared" si="66"/>
        <v>0</v>
      </c>
      <c r="P513" s="427">
        <f t="shared" si="67"/>
        <v>0</v>
      </c>
    </row>
    <row r="514" spans="1:16" ht="18.75" hidden="1" x14ac:dyDescent="0.25">
      <c r="A514" s="684"/>
      <c r="B514" s="421"/>
      <c r="C514" s="421"/>
      <c r="D514" s="421"/>
      <c r="E514" s="520" t="s">
        <v>18</v>
      </c>
      <c r="F514" s="420"/>
      <c r="G514" s="424"/>
      <c r="H514" s="522" t="s">
        <v>12</v>
      </c>
      <c r="I514" s="679"/>
      <c r="J514" s="679"/>
      <c r="K514" s="678"/>
      <c r="L514" s="502"/>
      <c r="M514" s="502"/>
      <c r="N514" s="502"/>
      <c r="O514" s="502">
        <f t="shared" si="66"/>
        <v>0</v>
      </c>
      <c r="P514" s="502">
        <f t="shared" si="67"/>
        <v>0</v>
      </c>
    </row>
    <row r="515" spans="1:16" ht="18.75" hidden="1" x14ac:dyDescent="0.25">
      <c r="A515" s="157"/>
      <c r="B515" s="280"/>
      <c r="C515" s="280"/>
      <c r="D515" s="280"/>
      <c r="E515" s="336" t="s">
        <v>19</v>
      </c>
      <c r="F515" s="53"/>
      <c r="G515" s="55"/>
      <c r="H515" s="166" t="s">
        <v>12</v>
      </c>
      <c r="I515" s="164"/>
      <c r="J515" s="164"/>
      <c r="K515" s="165"/>
      <c r="L515" s="61"/>
      <c r="M515" s="61"/>
      <c r="N515" s="61"/>
      <c r="O515" s="61">
        <f t="shared" si="66"/>
        <v>0</v>
      </c>
      <c r="P515" s="61">
        <f t="shared" si="67"/>
        <v>0</v>
      </c>
    </row>
    <row r="516" spans="1:16" ht="19.5" hidden="1" x14ac:dyDescent="0.3">
      <c r="A516" s="683"/>
      <c r="B516" s="432"/>
      <c r="C516" s="1002" t="s">
        <v>16</v>
      </c>
      <c r="D516" s="1001" t="s">
        <v>36</v>
      </c>
      <c r="E516" s="682"/>
      <c r="F516" s="682"/>
      <c r="G516" s="681"/>
      <c r="H516" s="680"/>
      <c r="I516" s="679"/>
      <c r="J516" s="679"/>
      <c r="K516" s="678"/>
      <c r="L516" s="678"/>
      <c r="M516" s="678"/>
      <c r="N516" s="678"/>
      <c r="O516" s="678"/>
      <c r="P516" s="678"/>
    </row>
    <row r="517" spans="1:16" ht="19.5" hidden="1" x14ac:dyDescent="0.3">
      <c r="A517" s="683"/>
      <c r="B517" s="432"/>
      <c r="C517" s="432"/>
      <c r="D517" s="742" t="s">
        <v>201</v>
      </c>
      <c r="E517" s="422"/>
      <c r="F517" s="422"/>
      <c r="G517" s="680"/>
      <c r="H517" s="992" t="s">
        <v>44</v>
      </c>
      <c r="I517" s="772"/>
      <c r="J517" s="772"/>
      <c r="K517" s="715">
        <f>IF(I517&gt;0,J517*100/I517,0)</f>
        <v>0</v>
      </c>
      <c r="L517" s="678"/>
      <c r="M517" s="678"/>
      <c r="N517" s="678"/>
      <c r="O517" s="678"/>
      <c r="P517" s="678"/>
    </row>
    <row r="518" spans="1:16" ht="18.75" hidden="1" x14ac:dyDescent="0.25">
      <c r="A518" s="683"/>
      <c r="B518" s="432"/>
      <c r="C518" s="432"/>
      <c r="D518" s="432"/>
      <c r="E518" s="423" t="s">
        <v>200</v>
      </c>
      <c r="F518" s="422"/>
      <c r="G518" s="680"/>
      <c r="H518" s="769" t="s">
        <v>54</v>
      </c>
      <c r="I518" s="426"/>
      <c r="J518" s="736"/>
      <c r="K518" s="427">
        <f>IF(I518&gt;0,(J518*100)/I518,0)</f>
        <v>0</v>
      </c>
      <c r="L518" s="678"/>
      <c r="M518" s="678"/>
      <c r="N518" s="678"/>
      <c r="O518" s="678"/>
      <c r="P518" s="678"/>
    </row>
    <row r="519" spans="1:16" ht="18.75" hidden="1" x14ac:dyDescent="0.25">
      <c r="A519" s="683"/>
      <c r="B519" s="432"/>
      <c r="C519" s="432"/>
      <c r="D519" s="432"/>
      <c r="E519" s="423" t="s">
        <v>199</v>
      </c>
      <c r="F519" s="422"/>
      <c r="G519" s="680"/>
      <c r="H519" s="769" t="s">
        <v>54</v>
      </c>
      <c r="I519" s="426"/>
      <c r="J519" s="736"/>
      <c r="K519" s="427">
        <f>IF(I$540&gt;0,J519*100/I$540,0)</f>
        <v>0</v>
      </c>
      <c r="L519" s="678"/>
      <c r="M519" s="678"/>
      <c r="N519" s="678"/>
      <c r="O519" s="678"/>
      <c r="P519" s="678"/>
    </row>
    <row r="520" spans="1:16" ht="18.75" hidden="1" x14ac:dyDescent="0.25">
      <c r="A520" s="683"/>
      <c r="B520" s="432"/>
      <c r="C520" s="432"/>
      <c r="D520" s="432"/>
      <c r="E520" s="423" t="s">
        <v>198</v>
      </c>
      <c r="F520" s="422"/>
      <c r="G520" s="680"/>
      <c r="H520" s="769" t="s">
        <v>44</v>
      </c>
      <c r="I520" s="429"/>
      <c r="J520" s="736"/>
      <c r="K520" s="427" t="e">
        <f>IF(#REF!&gt;0,J520*100/#REF!,0)</f>
        <v>#REF!</v>
      </c>
      <c r="L520" s="678"/>
      <c r="M520" s="678"/>
      <c r="N520" s="678"/>
      <c r="O520" s="678"/>
      <c r="P520" s="678"/>
    </row>
    <row r="521" spans="1:16" ht="18.75" hidden="1" x14ac:dyDescent="0.25">
      <c r="A521" s="683"/>
      <c r="B521" s="432"/>
      <c r="C521" s="432"/>
      <c r="D521" s="432"/>
      <c r="E521" s="423" t="s">
        <v>197</v>
      </c>
      <c r="F521" s="422"/>
      <c r="G521" s="680"/>
      <c r="H521" s="769" t="s">
        <v>44</v>
      </c>
      <c r="I521" s="429"/>
      <c r="J521" s="736"/>
      <c r="K521" s="427" t="e">
        <f>IF(#REF!&gt;0,J521*100/#REF!,0)</f>
        <v>#REF!</v>
      </c>
      <c r="L521" s="678"/>
      <c r="M521" s="678"/>
      <c r="N521" s="678"/>
      <c r="O521" s="678"/>
      <c r="P521" s="678"/>
    </row>
    <row r="522" spans="1:16" ht="18.75" hidden="1" x14ac:dyDescent="0.25">
      <c r="A522" s="683"/>
      <c r="B522" s="432"/>
      <c r="C522" s="432"/>
      <c r="D522" s="432"/>
      <c r="E522" s="423" t="s">
        <v>196</v>
      </c>
      <c r="F522" s="422"/>
      <c r="G522" s="680"/>
      <c r="H522" s="769" t="s">
        <v>44</v>
      </c>
      <c r="I522" s="429"/>
      <c r="J522" s="736"/>
      <c r="K522" s="427" t="e">
        <f>IF(#REF!&gt;0,J522*100/#REF!,0)</f>
        <v>#REF!</v>
      </c>
      <c r="L522" s="678"/>
      <c r="M522" s="678"/>
      <c r="N522" s="678"/>
      <c r="O522" s="678"/>
      <c r="P522" s="678"/>
    </row>
    <row r="523" spans="1:16" ht="19.5" hidden="1" x14ac:dyDescent="0.3">
      <c r="A523" s="683"/>
      <c r="B523" s="432"/>
      <c r="C523" s="432"/>
      <c r="D523" s="432"/>
      <c r="E523" s="423" t="s">
        <v>195</v>
      </c>
      <c r="F523" s="422"/>
      <c r="G523" s="680"/>
      <c r="H523" s="769" t="s">
        <v>44</v>
      </c>
      <c r="I523" s="429"/>
      <c r="J523" s="772"/>
      <c r="K523" s="715" t="e">
        <f>IF(#REF!&gt;0,J523*100/#REF!,0)</f>
        <v>#REF!</v>
      </c>
      <c r="L523" s="678"/>
      <c r="M523" s="678"/>
      <c r="N523" s="678"/>
      <c r="O523" s="678"/>
      <c r="P523" s="678"/>
    </row>
    <row r="524" spans="1:16" ht="18.75" hidden="1" x14ac:dyDescent="0.25">
      <c r="A524" s="683"/>
      <c r="B524" s="432"/>
      <c r="C524" s="432"/>
      <c r="D524" s="432"/>
      <c r="E524" s="422"/>
      <c r="F524" s="423" t="s">
        <v>192</v>
      </c>
      <c r="G524" s="680"/>
      <c r="H524" s="769" t="s">
        <v>44</v>
      </c>
      <c r="I524" s="429"/>
      <c r="J524" s="736"/>
      <c r="K524" s="430"/>
      <c r="L524" s="678"/>
      <c r="M524" s="678"/>
      <c r="N524" s="678"/>
      <c r="O524" s="678"/>
      <c r="P524" s="678"/>
    </row>
    <row r="525" spans="1:16" ht="18.75" hidden="1" x14ac:dyDescent="0.25">
      <c r="A525" s="683"/>
      <c r="B525" s="432"/>
      <c r="C525" s="432"/>
      <c r="D525" s="432"/>
      <c r="E525" s="422"/>
      <c r="F525" s="423" t="s">
        <v>191</v>
      </c>
      <c r="G525" s="680"/>
      <c r="H525" s="769" t="s">
        <v>44</v>
      </c>
      <c r="I525" s="429"/>
      <c r="J525" s="736"/>
      <c r="K525" s="430"/>
      <c r="L525" s="678"/>
      <c r="M525" s="678"/>
      <c r="N525" s="678"/>
      <c r="O525" s="678"/>
      <c r="P525" s="678"/>
    </row>
    <row r="526" spans="1:16" ht="19.5" hidden="1" x14ac:dyDescent="0.3">
      <c r="A526" s="683"/>
      <c r="B526" s="432"/>
      <c r="C526" s="432"/>
      <c r="D526" s="742" t="s">
        <v>194</v>
      </c>
      <c r="E526" s="422"/>
      <c r="F526" s="422"/>
      <c r="G526" s="680"/>
      <c r="H526" s="769" t="s">
        <v>44</v>
      </c>
      <c r="I526" s="772"/>
      <c r="J526" s="772"/>
      <c r="K526" s="715">
        <f>IF(I526&gt;0,J526*100/I526,0)</f>
        <v>0</v>
      </c>
      <c r="L526" s="678"/>
      <c r="M526" s="678"/>
      <c r="N526" s="678"/>
      <c r="O526" s="678"/>
      <c r="P526" s="678"/>
    </row>
    <row r="527" spans="1:16" ht="18.75" hidden="1" x14ac:dyDescent="0.25">
      <c r="A527" s="683"/>
      <c r="B527" s="432"/>
      <c r="C527" s="432"/>
      <c r="D527" s="432"/>
      <c r="E527" s="423" t="s">
        <v>193</v>
      </c>
      <c r="F527" s="422"/>
      <c r="G527" s="680"/>
      <c r="H527" s="769" t="s">
        <v>44</v>
      </c>
      <c r="I527" s="429"/>
      <c r="J527" s="426"/>
      <c r="K527" s="430"/>
      <c r="L527" s="678"/>
      <c r="M527" s="678"/>
      <c r="N527" s="678"/>
      <c r="O527" s="678"/>
      <c r="P527" s="678"/>
    </row>
    <row r="528" spans="1:16" ht="18.75" hidden="1" x14ac:dyDescent="0.25">
      <c r="A528" s="683"/>
      <c r="B528" s="432"/>
      <c r="C528" s="432"/>
      <c r="D528" s="432"/>
      <c r="E528" s="422"/>
      <c r="F528" s="423" t="s">
        <v>192</v>
      </c>
      <c r="G528" s="680"/>
      <c r="H528" s="769" t="s">
        <v>44</v>
      </c>
      <c r="I528" s="429"/>
      <c r="J528" s="736"/>
      <c r="K528" s="430"/>
      <c r="L528" s="678"/>
      <c r="M528" s="678"/>
      <c r="N528" s="678"/>
      <c r="O528" s="678"/>
      <c r="P528" s="678"/>
    </row>
    <row r="529" spans="1:16" ht="18.75" hidden="1" x14ac:dyDescent="0.25">
      <c r="A529" s="683"/>
      <c r="B529" s="432"/>
      <c r="C529" s="432"/>
      <c r="D529" s="432"/>
      <c r="E529" s="422"/>
      <c r="F529" s="423" t="s">
        <v>191</v>
      </c>
      <c r="G529" s="680"/>
      <c r="H529" s="769" t="s">
        <v>44</v>
      </c>
      <c r="I529" s="429"/>
      <c r="J529" s="736"/>
      <c r="K529" s="430"/>
      <c r="L529" s="678"/>
      <c r="M529" s="678"/>
      <c r="N529" s="678"/>
      <c r="O529" s="678"/>
      <c r="P529" s="678"/>
    </row>
    <row r="530" spans="1:16" ht="18.75" hidden="1" x14ac:dyDescent="0.25">
      <c r="A530" s="683"/>
      <c r="B530" s="432"/>
      <c r="C530" s="432"/>
      <c r="D530" s="432"/>
      <c r="E530" s="423" t="s">
        <v>190</v>
      </c>
      <c r="F530" s="422"/>
      <c r="G530" s="680"/>
      <c r="H530" s="769" t="s">
        <v>44</v>
      </c>
      <c r="I530" s="429"/>
      <c r="J530" s="736"/>
      <c r="K530" s="430"/>
      <c r="L530" s="678"/>
      <c r="M530" s="678"/>
      <c r="N530" s="678"/>
      <c r="O530" s="678"/>
      <c r="P530" s="678"/>
    </row>
    <row r="531" spans="1:16" ht="18.75" hidden="1" x14ac:dyDescent="0.25">
      <c r="A531" s="683"/>
      <c r="B531" s="432"/>
      <c r="C531" s="432"/>
      <c r="D531" s="432"/>
      <c r="E531" s="422"/>
      <c r="F531" s="423" t="s">
        <v>189</v>
      </c>
      <c r="G531" s="680"/>
      <c r="H531" s="769" t="s">
        <v>44</v>
      </c>
      <c r="I531" s="429"/>
      <c r="J531" s="736"/>
      <c r="K531" s="430"/>
      <c r="L531" s="678"/>
      <c r="M531" s="678"/>
      <c r="N531" s="678"/>
      <c r="O531" s="678"/>
      <c r="P531" s="678"/>
    </row>
    <row r="532" spans="1:16" ht="19.5" hidden="1" x14ac:dyDescent="0.3">
      <c r="A532" s="999"/>
      <c r="B532" s="1000" t="s">
        <v>188</v>
      </c>
      <c r="C532" s="999"/>
      <c r="D532" s="999"/>
      <c r="E532" s="999"/>
      <c r="F532" s="999"/>
      <c r="G532" s="998"/>
      <c r="H532" s="998"/>
      <c r="I532" s="997"/>
      <c r="J532" s="997"/>
      <c r="K532" s="996"/>
      <c r="L532" s="996"/>
      <c r="M532" s="996"/>
      <c r="N532" s="996"/>
      <c r="O532" s="996"/>
      <c r="P532" s="996"/>
    </row>
    <row r="533" spans="1:16" ht="19.5" hidden="1" x14ac:dyDescent="0.3">
      <c r="A533" s="684"/>
      <c r="B533" s="420"/>
      <c r="C533" s="295" t="s">
        <v>16</v>
      </c>
      <c r="D533" s="1122" t="s">
        <v>17</v>
      </c>
      <c r="E533" s="1106"/>
      <c r="F533" s="1106"/>
      <c r="G533" s="1107"/>
      <c r="H533" s="819" t="s">
        <v>12</v>
      </c>
      <c r="I533" s="429"/>
      <c r="J533" s="429"/>
      <c r="K533" s="430"/>
      <c r="L533" s="715"/>
      <c r="M533" s="715"/>
      <c r="N533" s="715"/>
      <c r="O533" s="715">
        <f>IF(L533&gt;0,N533*100/L533,0)</f>
        <v>0</v>
      </c>
      <c r="P533" s="715">
        <f>IF(M533&gt;0,N533*100/M533,0)</f>
        <v>0</v>
      </c>
    </row>
    <row r="534" spans="1:16" ht="18.75" hidden="1" x14ac:dyDescent="0.25">
      <c r="A534" s="684"/>
      <c r="B534" s="420"/>
      <c r="C534" s="420"/>
      <c r="D534" s="422"/>
      <c r="E534" s="520" t="s">
        <v>167</v>
      </c>
      <c r="F534" s="420"/>
      <c r="G534" s="424"/>
      <c r="H534" s="522" t="s">
        <v>12</v>
      </c>
      <c r="I534" s="429"/>
      <c r="J534" s="429"/>
      <c r="K534" s="430"/>
      <c r="L534" s="502"/>
      <c r="M534" s="502"/>
      <c r="N534" s="502"/>
      <c r="O534" s="502">
        <f>IF(L534&gt;0,N534*100/L534,0)</f>
        <v>0</v>
      </c>
      <c r="P534" s="502">
        <f>IF(M534&gt;0,N534*100/M534,0)</f>
        <v>0</v>
      </c>
    </row>
    <row r="535" spans="1:16" ht="18.75" hidden="1" x14ac:dyDescent="0.25">
      <c r="A535" s="157"/>
      <c r="B535" s="280"/>
      <c r="C535" s="53"/>
      <c r="D535" s="174"/>
      <c r="E535" s="336" t="s">
        <v>166</v>
      </c>
      <c r="F535" s="53"/>
      <c r="G535" s="55"/>
      <c r="H535" s="163" t="s">
        <v>12</v>
      </c>
      <c r="I535" s="57"/>
      <c r="J535" s="57"/>
      <c r="K535" s="58"/>
      <c r="L535" s="61"/>
      <c r="M535" s="61"/>
      <c r="N535" s="61"/>
      <c r="O535" s="61">
        <f>IF(L535&gt;0,N535*100/L535,0)</f>
        <v>0</v>
      </c>
      <c r="P535" s="61">
        <f>IF(M535&gt;0,N535*100/M535,0)</f>
        <v>0</v>
      </c>
    </row>
    <row r="536" spans="1:16" ht="18.75" hidden="1" x14ac:dyDescent="0.25">
      <c r="A536" s="684"/>
      <c r="B536" s="421"/>
      <c r="C536" s="420"/>
      <c r="D536" s="713" t="s">
        <v>20</v>
      </c>
      <c r="E536" s="420"/>
      <c r="F536" s="420"/>
      <c r="G536" s="424"/>
      <c r="H536" s="714" t="s">
        <v>12</v>
      </c>
      <c r="I536" s="679"/>
      <c r="J536" s="679"/>
      <c r="K536" s="678"/>
      <c r="L536" s="427"/>
      <c r="M536" s="427"/>
      <c r="N536" s="427"/>
      <c r="O536" s="427">
        <f>IF(L536&gt;0,N536*100/L536,0)</f>
        <v>0</v>
      </c>
      <c r="P536" s="427">
        <f>IF(M536&gt;0,N536*100/M536,0)</f>
        <v>0</v>
      </c>
    </row>
    <row r="537" spans="1:16" ht="18.75" hidden="1" x14ac:dyDescent="0.25">
      <c r="A537" s="684"/>
      <c r="B537" s="421"/>
      <c r="C537" s="420"/>
      <c r="D537" s="422"/>
      <c r="E537" s="520" t="s">
        <v>167</v>
      </c>
      <c r="F537" s="420"/>
      <c r="G537" s="424"/>
      <c r="H537" s="522" t="s">
        <v>12</v>
      </c>
      <c r="I537" s="429"/>
      <c r="J537" s="429"/>
      <c r="K537" s="430"/>
      <c r="L537" s="502"/>
      <c r="M537" s="502"/>
      <c r="N537" s="502"/>
      <c r="O537" s="430"/>
      <c r="P537" s="430"/>
    </row>
    <row r="538" spans="1:16" ht="18.75" hidden="1" x14ac:dyDescent="0.25">
      <c r="A538" s="157"/>
      <c r="B538" s="280"/>
      <c r="C538" s="53"/>
      <c r="D538" s="174"/>
      <c r="E538" s="336" t="s">
        <v>166</v>
      </c>
      <c r="F538" s="53"/>
      <c r="G538" s="55"/>
      <c r="H538" s="163" t="s">
        <v>12</v>
      </c>
      <c r="I538" s="57"/>
      <c r="J538" s="57"/>
      <c r="K538" s="58"/>
      <c r="L538" s="61"/>
      <c r="M538" s="61"/>
      <c r="N538" s="61"/>
      <c r="O538" s="61">
        <f>IF(L538&gt;0,N538*100/L538,0)</f>
        <v>0</v>
      </c>
      <c r="P538" s="61">
        <f>IF(M538&gt;0,N538*100/M538,0)</f>
        <v>0</v>
      </c>
    </row>
    <row r="539" spans="1:16" ht="18.75" hidden="1" x14ac:dyDescent="0.25">
      <c r="A539" s="684"/>
      <c r="B539" s="421"/>
      <c r="C539" s="420"/>
      <c r="D539" s="713" t="s">
        <v>21</v>
      </c>
      <c r="E539" s="420"/>
      <c r="F539" s="420"/>
      <c r="G539" s="424"/>
      <c r="H539" s="705" t="s">
        <v>12</v>
      </c>
      <c r="I539" s="679"/>
      <c r="J539" s="679"/>
      <c r="K539" s="678"/>
      <c r="L539" s="427"/>
      <c r="M539" s="427"/>
      <c r="N539" s="427"/>
      <c r="O539" s="427">
        <f>IF(L539&gt;0,N539*100/L539,0)</f>
        <v>0</v>
      </c>
      <c r="P539" s="427">
        <f>IF(M539&gt;0,N539*100/M539,0)</f>
        <v>0</v>
      </c>
    </row>
    <row r="540" spans="1:16" ht="18.75" hidden="1" x14ac:dyDescent="0.25">
      <c r="A540" s="684"/>
      <c r="B540" s="421"/>
      <c r="C540" s="420"/>
      <c r="D540" s="420"/>
      <c r="E540" s="520" t="s">
        <v>18</v>
      </c>
      <c r="F540" s="420"/>
      <c r="G540" s="424"/>
      <c r="H540" s="522" t="s">
        <v>12</v>
      </c>
      <c r="I540" s="679"/>
      <c r="J540" s="679"/>
      <c r="K540" s="678"/>
      <c r="L540" s="502"/>
      <c r="M540" s="502"/>
      <c r="N540" s="502"/>
      <c r="O540" s="502">
        <f>IF(L540&gt;0,N540*100/L540,0)</f>
        <v>0</v>
      </c>
      <c r="P540" s="502">
        <f>IF(M540&gt;0,N540*100/M540,0)</f>
        <v>0</v>
      </c>
    </row>
    <row r="541" spans="1:16" ht="18.75" hidden="1" x14ac:dyDescent="0.25">
      <c r="A541" s="157"/>
      <c r="B541" s="280"/>
      <c r="C541" s="53"/>
      <c r="D541" s="53"/>
      <c r="E541" s="336" t="s">
        <v>19</v>
      </c>
      <c r="F541" s="53"/>
      <c r="G541" s="55"/>
      <c r="H541" s="166" t="s">
        <v>12</v>
      </c>
      <c r="I541" s="164"/>
      <c r="J541" s="164"/>
      <c r="K541" s="165"/>
      <c r="L541" s="61"/>
      <c r="M541" s="61"/>
      <c r="N541" s="61"/>
      <c r="O541" s="61">
        <f>IF(L541&gt;0,N541*100/L541,0)</f>
        <v>0</v>
      </c>
      <c r="P541" s="61">
        <f>IF(M541&gt;0,N541*100/M541,0)</f>
        <v>0</v>
      </c>
    </row>
    <row r="542" spans="1:16" ht="19.5" hidden="1" x14ac:dyDescent="0.3">
      <c r="A542" s="683"/>
      <c r="B542" s="432"/>
      <c r="C542" s="295" t="s">
        <v>16</v>
      </c>
      <c r="D542" s="995" t="s">
        <v>36</v>
      </c>
      <c r="E542" s="682"/>
      <c r="F542" s="682"/>
      <c r="G542" s="681"/>
      <c r="H542" s="680"/>
      <c r="I542" s="679"/>
      <c r="J542" s="679"/>
      <c r="K542" s="678"/>
      <c r="L542" s="678"/>
      <c r="M542" s="678"/>
      <c r="N542" s="678"/>
      <c r="O542" s="678"/>
      <c r="P542" s="678"/>
    </row>
    <row r="543" spans="1:16" ht="18.75" hidden="1" x14ac:dyDescent="0.25">
      <c r="A543" s="632"/>
      <c r="B543" s="420"/>
      <c r="C543" s="420"/>
      <c r="D543" s="295" t="s">
        <v>187</v>
      </c>
      <c r="E543" s="420"/>
      <c r="F543" s="420"/>
      <c r="G543" s="424"/>
      <c r="H543" s="769" t="s">
        <v>44</v>
      </c>
      <c r="I543" s="993"/>
      <c r="J543" s="426"/>
      <c r="K543" s="427">
        <f>IF(I543&gt;0,J543*100/I543,0)</f>
        <v>0</v>
      </c>
      <c r="L543" s="430"/>
      <c r="M543" s="424"/>
      <c r="N543" s="990"/>
      <c r="O543" s="430"/>
      <c r="P543" s="430"/>
    </row>
    <row r="544" spans="1:16" ht="18.75" hidden="1" x14ac:dyDescent="0.25">
      <c r="A544" s="632"/>
      <c r="B544" s="420"/>
      <c r="C544" s="420"/>
      <c r="D544" s="295" t="s">
        <v>186</v>
      </c>
      <c r="E544" s="420"/>
      <c r="F544" s="420"/>
      <c r="G544" s="424"/>
      <c r="H544" s="769" t="s">
        <v>33</v>
      </c>
      <c r="I544" s="993"/>
      <c r="J544" s="426"/>
      <c r="K544" s="427">
        <f>IF(I544&gt;0,J544*100/I544,0)</f>
        <v>0</v>
      </c>
      <c r="L544" s="430"/>
      <c r="M544" s="424"/>
      <c r="N544" s="990"/>
      <c r="O544" s="430"/>
      <c r="P544" s="430"/>
    </row>
    <row r="545" spans="1:16" ht="19.5" hidden="1" x14ac:dyDescent="0.3">
      <c r="A545" s="632"/>
      <c r="B545" s="420"/>
      <c r="C545" s="420"/>
      <c r="D545" s="295" t="s">
        <v>185</v>
      </c>
      <c r="E545" s="420"/>
      <c r="F545" s="420"/>
      <c r="G545" s="424"/>
      <c r="H545" s="992" t="s">
        <v>44</v>
      </c>
      <c r="I545" s="991"/>
      <c r="J545" s="772"/>
      <c r="K545" s="715">
        <f>IF(I545&gt;0,J545*100/I545,0)</f>
        <v>0</v>
      </c>
      <c r="L545" s="430"/>
      <c r="M545" s="424"/>
      <c r="N545" s="990"/>
      <c r="O545" s="430"/>
      <c r="P545" s="430"/>
    </row>
    <row r="546" spans="1:16" ht="18.75" hidden="1" x14ac:dyDescent="0.25">
      <c r="A546" s="632"/>
      <c r="B546" s="420"/>
      <c r="C546" s="420"/>
      <c r="D546" s="420"/>
      <c r="E546" s="295" t="s">
        <v>184</v>
      </c>
      <c r="F546" s="420"/>
      <c r="G546" s="424"/>
      <c r="H546" s="769" t="s">
        <v>33</v>
      </c>
      <c r="I546" s="428"/>
      <c r="J546" s="736"/>
      <c r="K546" s="430"/>
      <c r="L546" s="430"/>
      <c r="M546" s="424"/>
      <c r="N546" s="990"/>
      <c r="O546" s="430"/>
      <c r="P546" s="430"/>
    </row>
    <row r="547" spans="1:16" ht="18.75" hidden="1" x14ac:dyDescent="0.25">
      <c r="A547" s="632"/>
      <c r="B547" s="420"/>
      <c r="C547" s="420"/>
      <c r="D547" s="420"/>
      <c r="E547" s="420"/>
      <c r="F547" s="420"/>
      <c r="G547" s="424"/>
      <c r="H547" s="769" t="s">
        <v>32</v>
      </c>
      <c r="I547" s="428"/>
      <c r="J547" s="736"/>
      <c r="K547" s="430"/>
      <c r="L547" s="430"/>
      <c r="M547" s="424"/>
      <c r="N547" s="990"/>
      <c r="O547" s="430"/>
      <c r="P547" s="430"/>
    </row>
    <row r="548" spans="1:16" ht="18.75" hidden="1" x14ac:dyDescent="0.25">
      <c r="A548" s="632"/>
      <c r="B548" s="420"/>
      <c r="C548" s="420"/>
      <c r="D548" s="420"/>
      <c r="E548" s="420"/>
      <c r="F548" s="420"/>
      <c r="G548" s="424"/>
      <c r="H548" s="769" t="s">
        <v>44</v>
      </c>
      <c r="I548" s="993"/>
      <c r="J548" s="736"/>
      <c r="K548" s="430"/>
      <c r="L548" s="430"/>
      <c r="M548" s="424"/>
      <c r="N548" s="990"/>
      <c r="O548" s="430"/>
      <c r="P548" s="430"/>
    </row>
    <row r="549" spans="1:16" ht="18.75" hidden="1" x14ac:dyDescent="0.25">
      <c r="A549" s="632"/>
      <c r="B549" s="420"/>
      <c r="C549" s="420"/>
      <c r="D549" s="420"/>
      <c r="E549" s="295" t="s">
        <v>183</v>
      </c>
      <c r="F549" s="420"/>
      <c r="G549" s="424"/>
      <c r="H549" s="769" t="s">
        <v>33</v>
      </c>
      <c r="I549" s="428"/>
      <c r="J549" s="736"/>
      <c r="K549" s="430"/>
      <c r="L549" s="430"/>
      <c r="M549" s="424"/>
      <c r="N549" s="990"/>
      <c r="O549" s="430"/>
      <c r="P549" s="430"/>
    </row>
    <row r="550" spans="1:16" ht="18.75" hidden="1" x14ac:dyDescent="0.25">
      <c r="A550" s="632"/>
      <c r="B550" s="420"/>
      <c r="C550" s="420"/>
      <c r="D550" s="420"/>
      <c r="E550" s="420"/>
      <c r="F550" s="420"/>
      <c r="G550" s="424"/>
      <c r="H550" s="769" t="s">
        <v>32</v>
      </c>
      <c r="I550" s="428"/>
      <c r="J550" s="736"/>
      <c r="K550" s="430"/>
      <c r="L550" s="430"/>
      <c r="M550" s="424"/>
      <c r="N550" s="990"/>
      <c r="O550" s="430"/>
      <c r="P550" s="430"/>
    </row>
    <row r="551" spans="1:16" ht="18.75" hidden="1" x14ac:dyDescent="0.25">
      <c r="A551" s="632"/>
      <c r="B551" s="420"/>
      <c r="C551" s="420"/>
      <c r="D551" s="420"/>
      <c r="E551" s="420"/>
      <c r="F551" s="420"/>
      <c r="G551" s="424"/>
      <c r="H551" s="769" t="s">
        <v>44</v>
      </c>
      <c r="I551" s="993"/>
      <c r="J551" s="736"/>
      <c r="K551" s="430"/>
      <c r="L551" s="430"/>
      <c r="M551" s="424"/>
      <c r="N551" s="990"/>
      <c r="O551" s="430"/>
      <c r="P551" s="430"/>
    </row>
    <row r="552" spans="1:16" ht="19.5" hidden="1" x14ac:dyDescent="0.3">
      <c r="A552" s="632"/>
      <c r="B552" s="420"/>
      <c r="C552" s="420"/>
      <c r="D552" s="994" t="s">
        <v>182</v>
      </c>
      <c r="E552" s="420"/>
      <c r="F552" s="420"/>
      <c r="G552" s="424"/>
      <c r="H552" s="992" t="s">
        <v>44</v>
      </c>
      <c r="I552" s="991"/>
      <c r="J552" s="772"/>
      <c r="K552" s="715">
        <f>IF(I552&gt;0,J552*100/I552,0)</f>
        <v>0</v>
      </c>
      <c r="L552" s="430"/>
      <c r="M552" s="424"/>
      <c r="N552" s="990"/>
      <c r="O552" s="430"/>
      <c r="P552" s="430"/>
    </row>
    <row r="553" spans="1:16" ht="18.75" hidden="1" x14ac:dyDescent="0.25">
      <c r="A553" s="632"/>
      <c r="B553" s="420"/>
      <c r="C553" s="420"/>
      <c r="D553" s="420"/>
      <c r="E553" s="295" t="s">
        <v>181</v>
      </c>
      <c r="F553" s="420"/>
      <c r="G553" s="424"/>
      <c r="H553" s="769" t="s">
        <v>32</v>
      </c>
      <c r="I553" s="428"/>
      <c r="J553" s="736"/>
      <c r="K553" s="430"/>
      <c r="L553" s="990"/>
      <c r="M553" s="424"/>
      <c r="N553" s="990"/>
      <c r="O553" s="430"/>
      <c r="P553" s="430"/>
    </row>
    <row r="554" spans="1:16" ht="18.75" hidden="1" x14ac:dyDescent="0.25">
      <c r="A554" s="632"/>
      <c r="B554" s="420"/>
      <c r="C554" s="420"/>
      <c r="D554" s="420"/>
      <c r="E554" s="420"/>
      <c r="F554" s="420"/>
      <c r="G554" s="424"/>
      <c r="H554" s="769" t="s">
        <v>44</v>
      </c>
      <c r="I554" s="428"/>
      <c r="J554" s="736"/>
      <c r="K554" s="430"/>
      <c r="L554" s="990"/>
      <c r="M554" s="424"/>
      <c r="N554" s="990"/>
      <c r="O554" s="430"/>
      <c r="P554" s="430"/>
    </row>
    <row r="555" spans="1:16" ht="18.75" hidden="1" x14ac:dyDescent="0.25">
      <c r="A555" s="632"/>
      <c r="B555" s="420"/>
      <c r="C555" s="420"/>
      <c r="D555" s="420"/>
      <c r="E555" s="295" t="s">
        <v>180</v>
      </c>
      <c r="F555" s="420"/>
      <c r="G555" s="424"/>
      <c r="H555" s="680"/>
      <c r="I555" s="428"/>
      <c r="J555" s="429"/>
      <c r="K555" s="430"/>
      <c r="L555" s="990"/>
      <c r="M555" s="424"/>
      <c r="N555" s="990"/>
      <c r="O555" s="430"/>
      <c r="P555" s="430"/>
    </row>
    <row r="556" spans="1:16" ht="18.75" hidden="1" x14ac:dyDescent="0.25">
      <c r="A556" s="632"/>
      <c r="B556" s="420"/>
      <c r="C556" s="420"/>
      <c r="D556" s="420"/>
      <c r="E556" s="420"/>
      <c r="F556" s="295" t="s">
        <v>179</v>
      </c>
      <c r="G556" s="424"/>
      <c r="H556" s="769" t="s">
        <v>33</v>
      </c>
      <c r="I556" s="428"/>
      <c r="J556" s="736"/>
      <c r="K556" s="430"/>
      <c r="L556" s="990"/>
      <c r="M556" s="424"/>
      <c r="N556" s="990"/>
      <c r="O556" s="430"/>
      <c r="P556" s="430"/>
    </row>
    <row r="557" spans="1:16" ht="18.75" hidden="1" x14ac:dyDescent="0.25">
      <c r="A557" s="632"/>
      <c r="B557" s="420"/>
      <c r="C557" s="420"/>
      <c r="D557" s="420"/>
      <c r="E557" s="420"/>
      <c r="F557" s="420"/>
      <c r="G557" s="424"/>
      <c r="H557" s="769" t="s">
        <v>32</v>
      </c>
      <c r="I557" s="428"/>
      <c r="J557" s="736"/>
      <c r="K557" s="430"/>
      <c r="L557" s="990"/>
      <c r="M557" s="424"/>
      <c r="N557" s="990"/>
      <c r="O557" s="430"/>
      <c r="P557" s="430"/>
    </row>
    <row r="558" spans="1:16" ht="18.75" hidden="1" x14ac:dyDescent="0.25">
      <c r="A558" s="632"/>
      <c r="B558" s="420"/>
      <c r="C558" s="420"/>
      <c r="D558" s="420"/>
      <c r="E558" s="420"/>
      <c r="F558" s="420"/>
      <c r="G558" s="424"/>
      <c r="H558" s="769" t="s">
        <v>44</v>
      </c>
      <c r="I558" s="428"/>
      <c r="J558" s="736"/>
      <c r="K558" s="430"/>
      <c r="L558" s="990"/>
      <c r="M558" s="424"/>
      <c r="N558" s="990"/>
      <c r="O558" s="430"/>
      <c r="P558" s="430"/>
    </row>
    <row r="559" spans="1:16" ht="18.75" hidden="1" x14ac:dyDescent="0.25">
      <c r="A559" s="632"/>
      <c r="B559" s="420"/>
      <c r="C559" s="420"/>
      <c r="D559" s="420"/>
      <c r="E559" s="420"/>
      <c r="F559" s="295" t="s">
        <v>178</v>
      </c>
      <c r="G559" s="424"/>
      <c r="H559" s="769" t="s">
        <v>33</v>
      </c>
      <c r="I559" s="428"/>
      <c r="J559" s="736"/>
      <c r="K559" s="430"/>
      <c r="L559" s="990"/>
      <c r="M559" s="424"/>
      <c r="N559" s="990"/>
      <c r="O559" s="430"/>
      <c r="P559" s="430"/>
    </row>
    <row r="560" spans="1:16" ht="18.75" hidden="1" x14ac:dyDescent="0.25">
      <c r="A560" s="632"/>
      <c r="B560" s="420"/>
      <c r="C560" s="420"/>
      <c r="D560" s="420"/>
      <c r="E560" s="420"/>
      <c r="F560" s="420"/>
      <c r="G560" s="424"/>
      <c r="H560" s="769" t="s">
        <v>32</v>
      </c>
      <c r="I560" s="428"/>
      <c r="J560" s="736"/>
      <c r="K560" s="430"/>
      <c r="L560" s="990"/>
      <c r="M560" s="424"/>
      <c r="N560" s="990"/>
      <c r="O560" s="430"/>
      <c r="P560" s="430"/>
    </row>
    <row r="561" spans="1:16" ht="18.75" hidden="1" x14ac:dyDescent="0.25">
      <c r="A561" s="632"/>
      <c r="B561" s="420"/>
      <c r="C561" s="420"/>
      <c r="D561" s="420"/>
      <c r="E561" s="420"/>
      <c r="F561" s="420"/>
      <c r="G561" s="424"/>
      <c r="H561" s="769" t="s">
        <v>44</v>
      </c>
      <c r="I561" s="428"/>
      <c r="J561" s="736"/>
      <c r="K561" s="430"/>
      <c r="L561" s="990"/>
      <c r="M561" s="424"/>
      <c r="N561" s="990"/>
      <c r="O561" s="430"/>
      <c r="P561" s="430"/>
    </row>
    <row r="562" spans="1:16" ht="18.75" hidden="1" x14ac:dyDescent="0.25">
      <c r="A562" s="632"/>
      <c r="B562" s="420"/>
      <c r="C562" s="420"/>
      <c r="D562" s="295" t="s">
        <v>177</v>
      </c>
      <c r="E562" s="420"/>
      <c r="F562" s="420"/>
      <c r="G562" s="424"/>
      <c r="H562" s="769" t="s">
        <v>33</v>
      </c>
      <c r="I562" s="428"/>
      <c r="J562" s="426"/>
      <c r="K562" s="430"/>
      <c r="L562" s="430"/>
      <c r="M562" s="424"/>
      <c r="N562" s="990"/>
      <c r="O562" s="430"/>
      <c r="P562" s="430"/>
    </row>
    <row r="563" spans="1:16" ht="18.75" hidden="1" x14ac:dyDescent="0.25">
      <c r="A563" s="632"/>
      <c r="B563" s="420"/>
      <c r="C563" s="420"/>
      <c r="D563" s="420"/>
      <c r="E563" s="420"/>
      <c r="F563" s="420"/>
      <c r="G563" s="424"/>
      <c r="H563" s="769" t="s">
        <v>32</v>
      </c>
      <c r="I563" s="428"/>
      <c r="J563" s="426"/>
      <c r="K563" s="430"/>
      <c r="L563" s="990"/>
      <c r="M563" s="424"/>
      <c r="N563" s="990"/>
      <c r="O563" s="430"/>
      <c r="P563" s="430"/>
    </row>
    <row r="564" spans="1:16" ht="18.75" hidden="1" x14ac:dyDescent="0.25">
      <c r="A564" s="632"/>
      <c r="B564" s="420"/>
      <c r="C564" s="420"/>
      <c r="D564" s="420"/>
      <c r="E564" s="420"/>
      <c r="F564" s="420"/>
      <c r="G564" s="424"/>
      <c r="H564" s="769" t="s">
        <v>44</v>
      </c>
      <c r="I564" s="993"/>
      <c r="J564" s="426"/>
      <c r="K564" s="427">
        <f>IF(I564&gt;0,J564*100/I564,0)</f>
        <v>0</v>
      </c>
      <c r="L564" s="990"/>
      <c r="M564" s="424"/>
      <c r="N564" s="990"/>
      <c r="O564" s="430"/>
      <c r="P564" s="430"/>
    </row>
    <row r="565" spans="1:16" ht="19.5" hidden="1" x14ac:dyDescent="0.3">
      <c r="A565" s="632"/>
      <c r="B565" s="420"/>
      <c r="C565" s="420"/>
      <c r="D565" s="295" t="s">
        <v>176</v>
      </c>
      <c r="E565" s="420"/>
      <c r="F565" s="420"/>
      <c r="G565" s="424"/>
      <c r="H565" s="992" t="s">
        <v>33</v>
      </c>
      <c r="I565" s="991"/>
      <c r="J565" s="772"/>
      <c r="K565" s="715">
        <f>IF(I565&gt;0,J565*100/I565,0)</f>
        <v>0</v>
      </c>
      <c r="L565" s="990"/>
      <c r="M565" s="424"/>
      <c r="N565" s="990"/>
      <c r="O565" s="430"/>
      <c r="P565" s="430"/>
    </row>
    <row r="566" spans="1:16" ht="19.5" hidden="1" x14ac:dyDescent="0.3">
      <c r="A566" s="632"/>
      <c r="B566" s="420"/>
      <c r="C566" s="420"/>
      <c r="D566" s="420"/>
      <c r="E566" s="420"/>
      <c r="F566" s="420"/>
      <c r="G566" s="424"/>
      <c r="H566" s="992" t="s">
        <v>44</v>
      </c>
      <c r="I566" s="991"/>
      <c r="J566" s="772"/>
      <c r="K566" s="715">
        <f>IF(I566&gt;0,J566*100/I566,0)</f>
        <v>0</v>
      </c>
      <c r="L566" s="430"/>
      <c r="M566" s="424"/>
      <c r="N566" s="990"/>
      <c r="O566" s="430"/>
      <c r="P566" s="430"/>
    </row>
    <row r="567" spans="1:16" ht="18.75" hidden="1" x14ac:dyDescent="0.25">
      <c r="A567" s="632"/>
      <c r="B567" s="420"/>
      <c r="C567" s="420"/>
      <c r="D567" s="420"/>
      <c r="E567" s="295" t="s">
        <v>175</v>
      </c>
      <c r="F567" s="420"/>
      <c r="G567" s="424"/>
      <c r="H567" s="769" t="s">
        <v>33</v>
      </c>
      <c r="I567" s="993"/>
      <c r="J567" s="426"/>
      <c r="K567" s="427">
        <f>IF(I567&gt;0,J567*100/I567,0)</f>
        <v>0</v>
      </c>
      <c r="L567" s="430"/>
      <c r="M567" s="424"/>
      <c r="N567" s="990"/>
      <c r="O567" s="430"/>
      <c r="P567" s="430"/>
    </row>
    <row r="568" spans="1:16" ht="18.75" hidden="1" x14ac:dyDescent="0.25">
      <c r="A568" s="632"/>
      <c r="B568" s="420"/>
      <c r="C568" s="420"/>
      <c r="D568" s="420"/>
      <c r="E568" s="420"/>
      <c r="F568" s="420"/>
      <c r="G568" s="424"/>
      <c r="H568" s="769" t="s">
        <v>32</v>
      </c>
      <c r="I568" s="428"/>
      <c r="J568" s="426"/>
      <c r="K568" s="430"/>
      <c r="L568" s="990"/>
      <c r="M568" s="424"/>
      <c r="N568" s="990"/>
      <c r="O568" s="430"/>
      <c r="P568" s="430"/>
    </row>
    <row r="569" spans="1:16" ht="18.75" hidden="1" x14ac:dyDescent="0.25">
      <c r="A569" s="632"/>
      <c r="B569" s="420"/>
      <c r="C569" s="420"/>
      <c r="D569" s="420"/>
      <c r="E569" s="420"/>
      <c r="F569" s="420"/>
      <c r="G569" s="424"/>
      <c r="H569" s="769" t="s">
        <v>44</v>
      </c>
      <c r="I569" s="993"/>
      <c r="J569" s="426"/>
      <c r="K569" s="427">
        <f>IF(I569&gt;0,J569*100/I569,0)</f>
        <v>0</v>
      </c>
      <c r="L569" s="990"/>
      <c r="M569" s="424"/>
      <c r="N569" s="990"/>
      <c r="O569" s="430"/>
      <c r="P569" s="430"/>
    </row>
    <row r="570" spans="1:16" ht="18.75" hidden="1" x14ac:dyDescent="0.25">
      <c r="A570" s="632"/>
      <c r="B570" s="420"/>
      <c r="C570" s="420"/>
      <c r="D570" s="420"/>
      <c r="E570" s="295" t="s">
        <v>174</v>
      </c>
      <c r="F570" s="420"/>
      <c r="G570" s="424"/>
      <c r="H570" s="769" t="s">
        <v>33</v>
      </c>
      <c r="I570" s="993"/>
      <c r="J570" s="426"/>
      <c r="K570" s="427">
        <f>IF(I570&gt;0,J570*100/I570,0)</f>
        <v>0</v>
      </c>
      <c r="L570" s="430"/>
      <c r="M570" s="424"/>
      <c r="N570" s="990"/>
      <c r="O570" s="430"/>
      <c r="P570" s="430"/>
    </row>
    <row r="571" spans="1:16" ht="18.75" hidden="1" x14ac:dyDescent="0.25">
      <c r="A571" s="632"/>
      <c r="B571" s="420"/>
      <c r="C571" s="420"/>
      <c r="D571" s="420"/>
      <c r="E571" s="420"/>
      <c r="F571" s="420"/>
      <c r="G571" s="424"/>
      <c r="H571" s="769" t="s">
        <v>32</v>
      </c>
      <c r="I571" s="428"/>
      <c r="J571" s="426"/>
      <c r="K571" s="430"/>
      <c r="L571" s="990"/>
      <c r="M571" s="424"/>
      <c r="N571" s="990"/>
      <c r="O571" s="430"/>
      <c r="P571" s="430"/>
    </row>
    <row r="572" spans="1:16" ht="18.75" hidden="1" x14ac:dyDescent="0.25">
      <c r="A572" s="632"/>
      <c r="B572" s="420"/>
      <c r="C572" s="420"/>
      <c r="D572" s="420"/>
      <c r="E572" s="420"/>
      <c r="F572" s="420"/>
      <c r="G572" s="424"/>
      <c r="H572" s="769" t="s">
        <v>44</v>
      </c>
      <c r="I572" s="993"/>
      <c r="J572" s="426"/>
      <c r="K572" s="427">
        <f>IF(I572&gt;0,J572*100/I572,0)</f>
        <v>0</v>
      </c>
      <c r="L572" s="990"/>
      <c r="M572" s="424"/>
      <c r="N572" s="990"/>
      <c r="O572" s="430"/>
      <c r="P572" s="430"/>
    </row>
    <row r="573" spans="1:16" ht="19.5" hidden="1" x14ac:dyDescent="0.3">
      <c r="A573" s="632"/>
      <c r="B573" s="420"/>
      <c r="C573" s="420"/>
      <c r="D573" s="295" t="s">
        <v>173</v>
      </c>
      <c r="E573" s="420"/>
      <c r="F573" s="420"/>
      <c r="G573" s="424"/>
      <c r="H573" s="992" t="s">
        <v>44</v>
      </c>
      <c r="I573" s="991"/>
      <c r="J573" s="772"/>
      <c r="K573" s="715">
        <f>IF(I573&gt;0,J573*100/I573,0)</f>
        <v>0</v>
      </c>
      <c r="L573" s="430"/>
      <c r="M573" s="424"/>
      <c r="N573" s="990"/>
      <c r="O573" s="430"/>
      <c r="P573" s="430"/>
    </row>
    <row r="574" spans="1:16" ht="18.75" hidden="1" x14ac:dyDescent="0.25">
      <c r="A574" s="632"/>
      <c r="B574" s="420"/>
      <c r="C574" s="420"/>
      <c r="D574" s="420"/>
      <c r="E574" s="295" t="s">
        <v>172</v>
      </c>
      <c r="F574" s="420"/>
      <c r="G574" s="424"/>
      <c r="H574" s="769" t="s">
        <v>33</v>
      </c>
      <c r="I574" s="428"/>
      <c r="J574" s="736"/>
      <c r="K574" s="430"/>
      <c r="L574" s="990"/>
      <c r="M574" s="430"/>
      <c r="N574" s="990"/>
      <c r="O574" s="430"/>
      <c r="P574" s="430"/>
    </row>
    <row r="575" spans="1:16" ht="18.75" hidden="1" x14ac:dyDescent="0.25">
      <c r="A575" s="632"/>
      <c r="B575" s="420"/>
      <c r="C575" s="420"/>
      <c r="D575" s="420"/>
      <c r="E575" s="420"/>
      <c r="F575" s="420"/>
      <c r="G575" s="424"/>
      <c r="H575" s="769" t="s">
        <v>32</v>
      </c>
      <c r="I575" s="428"/>
      <c r="J575" s="736"/>
      <c r="K575" s="430"/>
      <c r="L575" s="990"/>
      <c r="M575" s="430"/>
      <c r="N575" s="990"/>
      <c r="O575" s="430"/>
      <c r="P575" s="430"/>
    </row>
    <row r="576" spans="1:16" ht="18.75" hidden="1" x14ac:dyDescent="0.25">
      <c r="A576" s="632"/>
      <c r="B576" s="420"/>
      <c r="C576" s="420"/>
      <c r="D576" s="420"/>
      <c r="E576" s="420"/>
      <c r="F576" s="420"/>
      <c r="G576" s="424"/>
      <c r="H576" s="769" t="s">
        <v>44</v>
      </c>
      <c r="I576" s="428"/>
      <c r="J576" s="736"/>
      <c r="K576" s="430"/>
      <c r="L576" s="990"/>
      <c r="M576" s="430"/>
      <c r="N576" s="990"/>
      <c r="O576" s="430"/>
      <c r="P576" s="430"/>
    </row>
    <row r="577" spans="1:16" ht="18.75" hidden="1" x14ac:dyDescent="0.25">
      <c r="A577" s="632"/>
      <c r="B577" s="420"/>
      <c r="C577" s="420"/>
      <c r="D577" s="420"/>
      <c r="E577" s="295" t="s">
        <v>171</v>
      </c>
      <c r="F577" s="420"/>
      <c r="G577" s="424"/>
      <c r="H577" s="769" t="s">
        <v>33</v>
      </c>
      <c r="I577" s="428"/>
      <c r="J577" s="736"/>
      <c r="K577" s="430"/>
      <c r="L577" s="990"/>
      <c r="M577" s="430"/>
      <c r="N577" s="990"/>
      <c r="O577" s="430"/>
      <c r="P577" s="430"/>
    </row>
    <row r="578" spans="1:16" ht="18.75" hidden="1" x14ac:dyDescent="0.25">
      <c r="A578" s="632"/>
      <c r="B578" s="420"/>
      <c r="C578" s="420"/>
      <c r="D578" s="420"/>
      <c r="E578" s="420"/>
      <c r="F578" s="420"/>
      <c r="G578" s="424"/>
      <c r="H578" s="769" t="s">
        <v>32</v>
      </c>
      <c r="I578" s="428"/>
      <c r="J578" s="736"/>
      <c r="K578" s="430"/>
      <c r="L578" s="990"/>
      <c r="M578" s="430"/>
      <c r="N578" s="990"/>
      <c r="O578" s="430"/>
      <c r="P578" s="430"/>
    </row>
    <row r="579" spans="1:16" ht="19.5" hidden="1" x14ac:dyDescent="0.3">
      <c r="A579" s="989"/>
      <c r="B579" s="988" t="s">
        <v>170</v>
      </c>
      <c r="C579" s="799"/>
      <c r="D579" s="799"/>
      <c r="E579" s="799"/>
      <c r="F579" s="799"/>
      <c r="G579" s="798"/>
      <c r="H579" s="987" t="s">
        <v>44</v>
      </c>
      <c r="I579" s="702"/>
      <c r="J579" s="986"/>
      <c r="K579" s="625"/>
      <c r="L579" s="985"/>
      <c r="M579" s="625"/>
      <c r="N579" s="985"/>
      <c r="O579" s="625"/>
      <c r="P579" s="625"/>
    </row>
    <row r="580" spans="1:16" ht="19.5" hidden="1" x14ac:dyDescent="0.3">
      <c r="A580" s="984">
        <v>7</v>
      </c>
      <c r="B580" s="983" t="s">
        <v>169</v>
      </c>
      <c r="C580" s="982"/>
      <c r="D580" s="982"/>
      <c r="E580" s="982"/>
      <c r="F580" s="982"/>
      <c r="G580" s="981"/>
      <c r="H580" s="980" t="s">
        <v>44</v>
      </c>
      <c r="I580" s="979"/>
      <c r="J580" s="979">
        <f>J592</f>
        <v>0</v>
      </c>
      <c r="K580" s="978">
        <f>IF(I580&gt;0,J580*100/I580,0)</f>
        <v>0</v>
      </c>
      <c r="L580" s="977"/>
      <c r="M580" s="977"/>
      <c r="N580" s="977"/>
      <c r="O580" s="977"/>
      <c r="P580" s="977"/>
    </row>
    <row r="581" spans="1:16" ht="19.5" hidden="1" x14ac:dyDescent="0.3">
      <c r="A581" s="984"/>
      <c r="B581" s="983" t="s">
        <v>168</v>
      </c>
      <c r="C581" s="982"/>
      <c r="D581" s="982"/>
      <c r="E581" s="982"/>
      <c r="F581" s="982"/>
      <c r="G581" s="981"/>
      <c r="H581" s="980"/>
      <c r="I581" s="979"/>
      <c r="J581" s="979"/>
      <c r="K581" s="978"/>
      <c r="L581" s="977"/>
      <c r="M581" s="977"/>
      <c r="N581" s="977"/>
      <c r="O581" s="977"/>
      <c r="P581" s="977"/>
    </row>
    <row r="582" spans="1:16" ht="19.5" hidden="1" x14ac:dyDescent="0.3">
      <c r="A582" s="521"/>
      <c r="B582" s="506"/>
      <c r="C582" s="520" t="s">
        <v>16</v>
      </c>
      <c r="D582" s="1123" t="s">
        <v>17</v>
      </c>
      <c r="E582" s="1106"/>
      <c r="F582" s="1106"/>
      <c r="G582" s="1107"/>
      <c r="H582" s="589" t="s">
        <v>12</v>
      </c>
      <c r="I582" s="199"/>
      <c r="J582" s="199"/>
      <c r="K582" s="501"/>
      <c r="L582" s="525"/>
      <c r="M582" s="525"/>
      <c r="N582" s="525"/>
      <c r="O582" s="525">
        <f t="shared" ref="O582:O590" si="68">IF(L582&gt;0,N582*100/L582,0)</f>
        <v>0</v>
      </c>
      <c r="P582" s="525">
        <f t="shared" ref="P582:P590" si="69">IF(M582&gt;0,N582*100/M582,0)</f>
        <v>0</v>
      </c>
    </row>
    <row r="583" spans="1:16" ht="18.75" hidden="1" x14ac:dyDescent="0.25">
      <c r="A583" s="521"/>
      <c r="B583" s="506"/>
      <c r="C583" s="506"/>
      <c r="D583" s="584"/>
      <c r="E583" s="520" t="s">
        <v>167</v>
      </c>
      <c r="F583" s="506"/>
      <c r="G583" s="505"/>
      <c r="H583" s="522" t="s">
        <v>12</v>
      </c>
      <c r="I583" s="199"/>
      <c r="J583" s="199"/>
      <c r="K583" s="501"/>
      <c r="L583" s="502"/>
      <c r="M583" s="502"/>
      <c r="N583" s="502"/>
      <c r="O583" s="502">
        <f t="shared" si="68"/>
        <v>0</v>
      </c>
      <c r="P583" s="502">
        <f t="shared" si="69"/>
        <v>0</v>
      </c>
    </row>
    <row r="584" spans="1:16" ht="18.75" hidden="1" x14ac:dyDescent="0.25">
      <c r="A584" s="521"/>
      <c r="B584" s="509"/>
      <c r="C584" s="506"/>
      <c r="D584" s="584"/>
      <c r="E584" s="520" t="s">
        <v>166</v>
      </c>
      <c r="F584" s="506"/>
      <c r="G584" s="505"/>
      <c r="H584" s="522" t="s">
        <v>12</v>
      </c>
      <c r="I584" s="199"/>
      <c r="J584" s="199"/>
      <c r="K584" s="501"/>
      <c r="L584" s="502"/>
      <c r="M584" s="502"/>
      <c r="N584" s="502"/>
      <c r="O584" s="502">
        <f t="shared" si="68"/>
        <v>0</v>
      </c>
      <c r="P584" s="502">
        <f t="shared" si="69"/>
        <v>0</v>
      </c>
    </row>
    <row r="585" spans="1:16" ht="19.5" hidden="1" x14ac:dyDescent="0.3">
      <c r="A585" s="521"/>
      <c r="B585" s="509"/>
      <c r="C585" s="506"/>
      <c r="D585" s="527" t="s">
        <v>20</v>
      </c>
      <c r="E585" s="506"/>
      <c r="F585" s="506"/>
      <c r="G585" s="505"/>
      <c r="H585" s="589" t="s">
        <v>12</v>
      </c>
      <c r="I585" s="512"/>
      <c r="J585" s="512"/>
      <c r="K585" s="511"/>
      <c r="L585" s="525"/>
      <c r="M585" s="525"/>
      <c r="N585" s="525"/>
      <c r="O585" s="525">
        <f t="shared" si="68"/>
        <v>0</v>
      </c>
      <c r="P585" s="525">
        <f t="shared" si="69"/>
        <v>0</v>
      </c>
    </row>
    <row r="586" spans="1:16" ht="18.75" hidden="1" x14ac:dyDescent="0.25">
      <c r="A586" s="521"/>
      <c r="B586" s="509"/>
      <c r="C586" s="506"/>
      <c r="D586" s="584"/>
      <c r="E586" s="520" t="s">
        <v>167</v>
      </c>
      <c r="F586" s="506"/>
      <c r="G586" s="505"/>
      <c r="H586" s="522" t="s">
        <v>12</v>
      </c>
      <c r="I586" s="199"/>
      <c r="J586" s="199"/>
      <c r="K586" s="501"/>
      <c r="L586" s="502"/>
      <c r="M586" s="502"/>
      <c r="N586" s="502"/>
      <c r="O586" s="502">
        <f t="shared" si="68"/>
        <v>0</v>
      </c>
      <c r="P586" s="502">
        <f t="shared" si="69"/>
        <v>0</v>
      </c>
    </row>
    <row r="587" spans="1:16" ht="18.75" hidden="1" x14ac:dyDescent="0.25">
      <c r="A587" s="521"/>
      <c r="B587" s="509"/>
      <c r="C587" s="506"/>
      <c r="D587" s="584"/>
      <c r="E587" s="520" t="s">
        <v>166</v>
      </c>
      <c r="F587" s="506"/>
      <c r="G587" s="505"/>
      <c r="H587" s="522" t="s">
        <v>12</v>
      </c>
      <c r="I587" s="199"/>
      <c r="J587" s="199"/>
      <c r="K587" s="501"/>
      <c r="L587" s="502"/>
      <c r="M587" s="502"/>
      <c r="N587" s="502"/>
      <c r="O587" s="502">
        <f t="shared" si="68"/>
        <v>0</v>
      </c>
      <c r="P587" s="502">
        <f t="shared" si="69"/>
        <v>0</v>
      </c>
    </row>
    <row r="588" spans="1:16" ht="19.5" hidden="1" x14ac:dyDescent="0.3">
      <c r="A588" s="521"/>
      <c r="B588" s="509"/>
      <c r="C588" s="506"/>
      <c r="D588" s="527" t="s">
        <v>21</v>
      </c>
      <c r="E588" s="506"/>
      <c r="F588" s="506"/>
      <c r="G588" s="505"/>
      <c r="H588" s="976" t="s">
        <v>12</v>
      </c>
      <c r="I588" s="512"/>
      <c r="J588" s="512"/>
      <c r="K588" s="511"/>
      <c r="L588" s="525"/>
      <c r="M588" s="525"/>
      <c r="N588" s="525"/>
      <c r="O588" s="525">
        <f t="shared" si="68"/>
        <v>0</v>
      </c>
      <c r="P588" s="525">
        <f t="shared" si="69"/>
        <v>0</v>
      </c>
    </row>
    <row r="589" spans="1:16" ht="18.75" hidden="1" x14ac:dyDescent="0.25">
      <c r="A589" s="521"/>
      <c r="B589" s="509"/>
      <c r="C589" s="506"/>
      <c r="D589" s="506"/>
      <c r="E589" s="520" t="s">
        <v>18</v>
      </c>
      <c r="F589" s="506"/>
      <c r="G589" s="505"/>
      <c r="H589" s="522" t="s">
        <v>12</v>
      </c>
      <c r="I589" s="512"/>
      <c r="J589" s="512"/>
      <c r="K589" s="511"/>
      <c r="L589" s="502"/>
      <c r="M589" s="502"/>
      <c r="N589" s="502"/>
      <c r="O589" s="502">
        <f t="shared" si="68"/>
        <v>0</v>
      </c>
      <c r="P589" s="502">
        <f t="shared" si="69"/>
        <v>0</v>
      </c>
    </row>
    <row r="590" spans="1:16" ht="18.75" hidden="1" x14ac:dyDescent="0.25">
      <c r="A590" s="521"/>
      <c r="B590" s="509"/>
      <c r="C590" s="506"/>
      <c r="D590" s="506"/>
      <c r="E590" s="520" t="s">
        <v>19</v>
      </c>
      <c r="F590" s="506"/>
      <c r="G590" s="505"/>
      <c r="H590" s="519" t="s">
        <v>12</v>
      </c>
      <c r="I590" s="512"/>
      <c r="J590" s="512"/>
      <c r="K590" s="511"/>
      <c r="L590" s="502"/>
      <c r="M590" s="502"/>
      <c r="N590" s="502"/>
      <c r="O590" s="502">
        <f t="shared" si="68"/>
        <v>0</v>
      </c>
      <c r="P590" s="502">
        <f t="shared" si="69"/>
        <v>0</v>
      </c>
    </row>
    <row r="591" spans="1:16" ht="19.5" hidden="1" x14ac:dyDescent="0.3">
      <c r="A591" s="518"/>
      <c r="B591" s="507"/>
      <c r="C591" s="520" t="s">
        <v>16</v>
      </c>
      <c r="D591" s="975" t="s">
        <v>36</v>
      </c>
      <c r="E591" s="515"/>
      <c r="F591" s="515"/>
      <c r="G591" s="514"/>
      <c r="H591" s="513"/>
      <c r="I591" s="512"/>
      <c r="J591" s="512"/>
      <c r="K591" s="511"/>
      <c r="L591" s="511"/>
      <c r="M591" s="511"/>
      <c r="N591" s="511"/>
      <c r="O591" s="511"/>
      <c r="P591" s="511"/>
    </row>
    <row r="592" spans="1:16" ht="18.75" hidden="1" x14ac:dyDescent="0.25">
      <c r="A592" s="510"/>
      <c r="B592" s="509"/>
      <c r="C592" s="506"/>
      <c r="D592" s="506"/>
      <c r="E592" s="520" t="s">
        <v>165</v>
      </c>
      <c r="F592" s="506"/>
      <c r="G592" s="505"/>
      <c r="H592" s="522" t="s">
        <v>44</v>
      </c>
      <c r="I592" s="974">
        <v>600000</v>
      </c>
      <c r="J592" s="199"/>
      <c r="K592" s="501"/>
      <c r="L592" s="501"/>
      <c r="M592" s="501"/>
      <c r="N592" s="501"/>
      <c r="O592" s="501"/>
      <c r="P592" s="501"/>
    </row>
    <row r="593" spans="1:16" ht="18.75" hidden="1" x14ac:dyDescent="0.25">
      <c r="A593" s="973"/>
      <c r="B593" s="972"/>
      <c r="C593" s="971"/>
      <c r="D593" s="971"/>
      <c r="E593" s="971" t="s">
        <v>164</v>
      </c>
      <c r="F593" s="971"/>
      <c r="G593" s="970"/>
      <c r="H593" s="969" t="s">
        <v>44</v>
      </c>
      <c r="I593" s="968">
        <v>600000</v>
      </c>
      <c r="J593" s="968"/>
      <c r="K593" s="967"/>
      <c r="L593" s="967"/>
      <c r="M593" s="967"/>
      <c r="N593" s="967"/>
      <c r="O593" s="967"/>
      <c r="P593" s="967"/>
    </row>
    <row r="594" spans="1:16" ht="12.75" x14ac:dyDescent="0.2">
      <c r="A594" s="673"/>
      <c r="B594" s="673"/>
      <c r="C594" s="673"/>
      <c r="D594" s="673"/>
      <c r="E594" s="673"/>
      <c r="F594" s="673"/>
      <c r="G594" s="673"/>
      <c r="H594" s="673"/>
      <c r="I594" s="673"/>
      <c r="J594" s="673"/>
      <c r="K594" s="673"/>
      <c r="L594" s="673"/>
      <c r="M594" s="673"/>
      <c r="N594" s="673"/>
      <c r="O594" s="673"/>
      <c r="P594" s="673"/>
    </row>
    <row r="595" spans="1:16" ht="16.5" x14ac:dyDescent="0.25">
      <c r="A595" s="674" t="s">
        <v>151</v>
      </c>
      <c r="B595" s="673"/>
      <c r="C595" s="673"/>
      <c r="D595" s="673"/>
      <c r="E595" s="673"/>
      <c r="F595" s="673"/>
      <c r="G595" s="673"/>
      <c r="H595" s="673"/>
      <c r="I595" s="673"/>
      <c r="J595" s="673"/>
      <c r="K595" s="673"/>
      <c r="L595" s="673"/>
      <c r="M595" s="673"/>
      <c r="N595" s="673"/>
      <c r="O595" s="673"/>
      <c r="P595" s="673"/>
    </row>
    <row r="596" spans="1:16" ht="16.5" x14ac:dyDescent="0.25">
      <c r="A596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596" s="673"/>
      <c r="C596" s="673"/>
      <c r="D596" s="673"/>
      <c r="E596" s="673"/>
      <c r="F596" s="673"/>
      <c r="G596" s="673"/>
      <c r="H596" s="673"/>
      <c r="I596" s="673"/>
      <c r="J596" s="673"/>
      <c r="K596" s="673"/>
      <c r="L596" s="673"/>
      <c r="M596" s="673"/>
      <c r="N596" s="673"/>
      <c r="O596" s="673"/>
      <c r="P596" s="673"/>
    </row>
  </sheetData>
  <mergeCells count="20">
    <mergeCell ref="D507:G507"/>
    <mergeCell ref="D533:G533"/>
    <mergeCell ref="D582:G582"/>
    <mergeCell ref="A7:G7"/>
    <mergeCell ref="A17:G17"/>
    <mergeCell ref="A30:G30"/>
    <mergeCell ref="A56:G56"/>
    <mergeCell ref="B57:G57"/>
    <mergeCell ref="D394:G394"/>
    <mergeCell ref="D415:G415"/>
    <mergeCell ref="D434:G434"/>
    <mergeCell ref="D466:F466"/>
    <mergeCell ref="D484:G484"/>
    <mergeCell ref="A5:G6"/>
    <mergeCell ref="I5:K5"/>
    <mergeCell ref="A1:P1"/>
    <mergeCell ref="A2:P2"/>
    <mergeCell ref="A3:P3"/>
    <mergeCell ref="L5:M5"/>
    <mergeCell ref="N5:P5"/>
  </mergeCells>
  <pageMargins left="0.23622047244094491" right="0.23622047244094491" top="0.55118110236220474" bottom="0.55118110236220474" header="0.31496062992125984" footer="0.31496062992125984"/>
  <pageSetup paperSize="9" scale="42" fitToHeight="0" orientation="portrait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F5940-FF4E-453A-A91B-8188785495FB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255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1772164</v>
      </c>
      <c r="M18" s="843">
        <f ca="1">M19+M20</f>
        <v>1475003</v>
      </c>
      <c r="N18" s="843">
        <f ca="1">N19+N20</f>
        <v>614618.45000000007</v>
      </c>
      <c r="O18" s="843">
        <f t="shared" ref="O18:O26" ca="1" si="0">IF(L18&gt;0,N18*100/L18,0)</f>
        <v>34.681804279965064</v>
      </c>
      <c r="P18" s="843">
        <f t="shared" ref="P18:P26" ca="1" si="1">IF(M18&gt;0,N18*100/M18,0)</f>
        <v>41.668962707194495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1772164</v>
      </c>
      <c r="M20" s="947">
        <f t="shared" ca="1" si="2"/>
        <v>1475003</v>
      </c>
      <c r="N20" s="947">
        <f t="shared" ca="1" si="2"/>
        <v>614618.45000000007</v>
      </c>
      <c r="O20" s="947">
        <f t="shared" ca="1" si="0"/>
        <v>34.681804279965064</v>
      </c>
      <c r="P20" s="947">
        <f t="shared" ca="1" si="1"/>
        <v>41.668962707194495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1772164</v>
      </c>
      <c r="M21" s="427">
        <f ca="1">M22+M23</f>
        <v>1475003</v>
      </c>
      <c r="N21" s="427">
        <f ca="1">N22+N23</f>
        <v>614618.45000000007</v>
      </c>
      <c r="O21" s="427">
        <f t="shared" ca="1" si="0"/>
        <v>34.681804279965064</v>
      </c>
      <c r="P21" s="427">
        <f t="shared" ca="1" si="1"/>
        <v>41.668962707194495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1772164</v>
      </c>
      <c r="M23" s="427">
        <f t="shared" ca="1" si="3"/>
        <v>1475003</v>
      </c>
      <c r="N23" s="427">
        <f t="shared" ca="1" si="3"/>
        <v>614618.45000000007</v>
      </c>
      <c r="O23" s="427">
        <f t="shared" ca="1" si="0"/>
        <v>34.681804279965064</v>
      </c>
      <c r="P23" s="427">
        <f t="shared" ca="1" si="1"/>
        <v>41.668962707194495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1772164</v>
      </c>
      <c r="M40" s="940">
        <f ca="1">M44+M59+M72+M94+M125+M139+M157+M173+M186+M266+M282+M303+M320+M333+M356</f>
        <v>1475003</v>
      </c>
      <c r="N40" s="940">
        <f ca="1">N44+N59+N72+N94+N125+N139+N157+N173+N186+N266+N282+N303+N320+N333+N356</f>
        <v>614618.45000000007</v>
      </c>
      <c r="O40" s="940">
        <f ca="1">IF(L40&gt;0,N40*100/L40,0)</f>
        <v>34.681804279965064</v>
      </c>
      <c r="P40" s="940">
        <f ca="1">IF(M40&gt;0,N40*100/M40,0)</f>
        <v>41.668962707194495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379939</v>
      </c>
      <c r="M44" s="925">
        <f ca="1">M45+M46</f>
        <v>386578</v>
      </c>
      <c r="N44" s="925">
        <f ca="1">N45+N46</f>
        <v>128393</v>
      </c>
      <c r="O44" s="925">
        <f t="shared" ref="O44:O52" ca="1" si="5">IF(L44&gt;0,N44*100/L44,0)</f>
        <v>33.793056253767055</v>
      </c>
      <c r="P44" s="925">
        <f t="shared" ref="P44:P52" ca="1" si="6">IF(M44&gt;0,N44*100/M44,0)</f>
        <v>33.212702223095988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379939</v>
      </c>
      <c r="M46" s="917">
        <f t="shared" ca="1" si="7"/>
        <v>386578</v>
      </c>
      <c r="N46" s="917">
        <f t="shared" ca="1" si="7"/>
        <v>128393</v>
      </c>
      <c r="O46" s="917">
        <f t="shared" ca="1" si="5"/>
        <v>33.793056253767055</v>
      </c>
      <c r="P46" s="917">
        <f t="shared" ca="1" si="6"/>
        <v>33.212702223095988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379939</v>
      </c>
      <c r="M47" s="427">
        <f ca="1">M48+M49</f>
        <v>386578</v>
      </c>
      <c r="N47" s="427">
        <f ca="1">N48+N49</f>
        <v>128393</v>
      </c>
      <c r="O47" s="427">
        <f t="shared" ca="1" si="5"/>
        <v>33.793056253767055</v>
      </c>
      <c r="P47" s="427">
        <f t="shared" ca="1" si="6"/>
        <v>33.212702223095988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IFERROR(__xludf.DUMMYFUNCTION("IMPORTRANGE(""https://docs.google.com/spreadsheets/d/1-uDff_7J0KD5mKrp0Vvzr7lt3OU09vwQwhkpOPPYv2Y/edit?usp=sharing"",""งบพรบ!P56"")"),379939)</f>
        <v>379939</v>
      </c>
      <c r="M49" s="427">
        <f ca="1">IFERROR(__xludf.DUMMYFUNCTION("IMPORTRANGE(""https://docs.google.com/spreadsheets/d/1-uDff_7J0KD5mKrp0Vvzr7lt3OU09vwQwhkpOPPYv2Y/edit?usp=sharing"",""งบพรบ!V56"")"),386578)</f>
        <v>386578</v>
      </c>
      <c r="N49" s="427">
        <f ca="1">IFERROR(__xludf.DUMMYFUNCTION("IMPORTRANGE(""https://docs.google.com/spreadsheets/d/1-uDff_7J0KD5mKrp0Vvzr7lt3OU09vwQwhkpOPPYv2Y/edit?usp=sharing"",""งบพรบ!Y56"")"),128393)</f>
        <v>128393</v>
      </c>
      <c r="O49" s="427">
        <f t="shared" ca="1" si="5"/>
        <v>33.793056253767055</v>
      </c>
      <c r="P49" s="427">
        <f t="shared" ca="1" si="6"/>
        <v>33.212702223095988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IFERROR(__xludf.DUMMYFUNCTION("IMPORTRANGE(""https://docs.google.com/spreadsheets/d/1-uDff_7J0KD5mKrp0Vvzr7lt3OU09vwQwhkpOPPYv2Y/edit?usp=sharing"",""งบพรบ!S56"")"),0)</f>
        <v>0</v>
      </c>
      <c r="M52" s="427">
        <f ca="1">IFERROR(__xludf.DUMMYFUNCTION("IMPORTRANGE(""https://docs.google.com/spreadsheets/d/1-uDff_7J0KD5mKrp0Vvzr7lt3OU09vwQwhkpOPPYv2Y/edit?usp=sharing"",""งบพรบ!W56"")"),0)</f>
        <v>0</v>
      </c>
      <c r="N52" s="427">
        <f ca="1">IFERROR(__xludf.DUMMYFUNCTION("IMPORTRANGE(""https://docs.google.com/spreadsheets/d/1-uDff_7J0KD5mKrp0Vvzr7lt3OU09vwQwhkpOPPYv2Y/edit?usp=sharing"",""งบพรบ!Z56"")"),0)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478300</v>
      </c>
      <c r="M59" s="899">
        <f ca="1">M60+M61</f>
        <v>360550</v>
      </c>
      <c r="N59" s="899">
        <f ca="1">N60+N61</f>
        <v>275513.7</v>
      </c>
      <c r="O59" s="899">
        <f t="shared" ref="O59:O67" ca="1" si="8">IF(L59&gt;0,N59*100/L59,0)</f>
        <v>57.602697052059376</v>
      </c>
      <c r="P59" s="899">
        <f t="shared" ref="P59:P67" ca="1" si="9">IF(M59&gt;0,N59*100/M59,0)</f>
        <v>76.414838441270277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478300</v>
      </c>
      <c r="M61" s="891">
        <f t="shared" ca="1" si="10"/>
        <v>360550</v>
      </c>
      <c r="N61" s="891">
        <f t="shared" ca="1" si="10"/>
        <v>275513.7</v>
      </c>
      <c r="O61" s="891">
        <f t="shared" ca="1" si="8"/>
        <v>57.602697052059376</v>
      </c>
      <c r="P61" s="891">
        <f t="shared" ca="1" si="9"/>
        <v>76.414838441270277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478300</v>
      </c>
      <c r="M62" s="427">
        <f ca="1">M63+M64</f>
        <v>360550</v>
      </c>
      <c r="N62" s="427">
        <f ca="1">N63+N64</f>
        <v>275513.7</v>
      </c>
      <c r="O62" s="427">
        <f t="shared" ca="1" si="8"/>
        <v>57.602697052059376</v>
      </c>
      <c r="P62" s="427">
        <f t="shared" ca="1" si="9"/>
        <v>76.414838441270277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IFERROR(__xludf.DUMMYFUNCTION("IMPORTRANGE(""https://docs.google.com/spreadsheets/d/1-uDff_7J0KD5mKrp0Vvzr7lt3OU09vwQwhkpOPPYv2Y/edit?usp=sharing"",""งบพรบ!AC56"")"),478300)</f>
        <v>478300</v>
      </c>
      <c r="M64" s="427">
        <f ca="1">IFERROR(__xludf.DUMMYFUNCTION("IMPORTRANGE(""https://docs.google.com/spreadsheets/d/1-uDff_7J0KD5mKrp0Vvzr7lt3OU09vwQwhkpOPPYv2Y/edit?usp=sharing"",""งบพรบ!AH56"")"),360550)</f>
        <v>360550</v>
      </c>
      <c r="N64" s="427">
        <f ca="1">IFERROR(__xludf.DUMMYFUNCTION("IMPORTRANGE(""https://docs.google.com/spreadsheets/d/1-uDff_7J0KD5mKrp0Vvzr7lt3OU09vwQwhkpOPPYv2Y/edit?usp=sharing"",""งบพรบ!AJ56"")"),275513.7)</f>
        <v>275513.7</v>
      </c>
      <c r="O64" s="427">
        <f t="shared" ca="1" si="8"/>
        <v>57.602697052059376</v>
      </c>
      <c r="P64" s="427">
        <f t="shared" ca="1" si="9"/>
        <v>76.414838441270277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IFERROR(__xludf.DUMMYFUNCTION("IMPORTRANGE(""https://docs.google.com/spreadsheets/d/1-uDff_7J0KD5mKrp0Vvzr7lt3OU09vwQwhkpOPPYv2Y/edit?usp=sharing"",""งบพรบ!AF56"")"),0)</f>
        <v>0</v>
      </c>
      <c r="M67" s="624">
        <f ca="1">IFERROR(__xludf.DUMMYFUNCTION("IMPORTRANGE(""https://docs.google.com/spreadsheets/d/1-uDff_7J0KD5mKrp0Vvzr7lt3OU09vwQwhkpOPPYv2Y/edit?usp=sharing"",""งบพรบ!AI56"")"),0)</f>
        <v>0</v>
      </c>
      <c r="N67" s="624">
        <f ca="1">IFERROR(__xludf.DUMMYFUNCTION("IMPORTRANGE(""https://docs.google.com/spreadsheets/d/1-uDff_7J0KD5mKrp0Vvzr7lt3OU09vwQwhkpOPPYv2Y/edit?usp=sharing"",""งบพรบ!AK56"")"),0)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IFERROR(__xludf.DUMMYFUNCTION("IMPORTRANGE(""https://docs.google.com/spreadsheets/d/1-uDff_7J0KD5mKrp0Vvzr7lt3OU09vwQwhkpOPPYv2Y/edit?usp=sharing"",""งบพรบ!AM56"")"),0)</f>
        <v>0</v>
      </c>
      <c r="M77" s="427">
        <f ca="1">IFERROR(__xludf.DUMMYFUNCTION("IMPORTRANGE(""https://docs.google.com/spreadsheets/d/1-uDff_7J0KD5mKrp0Vvzr7lt3OU09vwQwhkpOPPYv2Y/edit?usp=sharing"",""งบพรบ!AR56"")"),0)</f>
        <v>0</v>
      </c>
      <c r="N77" s="427">
        <f ca="1">IFERROR(__xludf.DUMMYFUNCTION("IMPORTRANGE(""https://docs.google.com/spreadsheets/d/1-uDff_7J0KD5mKrp0Vvzr7lt3OU09vwQwhkpOPPYv2Y/edit?usp=sharing"",""งบพรบ!AT56"")"),0)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IFERROR(__xludf.DUMMYFUNCTION("IMPORTRANGE(""https://docs.google.com/spreadsheets/d/1-uDff_7J0KD5mKrp0Vvzr7lt3OU09vwQwhkpOPPYv2Y/edit?usp=sharing"",""งบพรบ!AP56"")"),0)</f>
        <v>0</v>
      </c>
      <c r="M80" s="427">
        <f ca="1">IFERROR(__xludf.DUMMYFUNCTION("IMPORTRANGE(""https://docs.google.com/spreadsheets/d/1-uDff_7J0KD5mKrp0Vvzr7lt3OU09vwQwhkpOPPYv2Y/edit?usp=sharing"",""งบพรบ!AS56"")"),0)</f>
        <v>0</v>
      </c>
      <c r="N80" s="427">
        <f ca="1">IFERROR(__xludf.DUMMYFUNCTION("IMPORTRANGE(""https://docs.google.com/spreadsheets/d/1-uDff_7J0KD5mKrp0Vvzr7lt3OU09vwQwhkpOPPYv2Y/edit?usp=sharing"",""งบพรบ!AU56"")"),0)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IFERROR(__xludf.DUMMYFUNCTION("IMPORTRANGE(""https://docs.google.com/spreadsheets/d/1eHaY18a8A9IcSdp1K8H6x8fbOy06t2VsZHhMHf-1x7Y/edit?usp=sharing"",""แผน!H56"")"),0)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IFERROR(__xludf.DUMMYFUNCTION("IMPORTRANGE(""https://docs.google.com/spreadsheets/d/1eHaY18a8A9IcSdp1K8H6x8fbOy06t2VsZHhMHf-1x7Y/edit?usp=sharing"",""แผน!I56"")"),0)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IFERROR(__xludf.DUMMYFUNCTION("IMPORTRANGE(""https://docs.google.com/spreadsheets/d/1eHaY18a8A9IcSdp1K8H6x8fbOy06t2VsZHhMHf-1x7Y/edit?usp=sharing"",""แผน!F56"")"),0)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IFERROR(__xludf.DUMMYFUNCTION("IMPORTRANGE(""https://docs.google.com/spreadsheets/d/1eHaY18a8A9IcSdp1K8H6x8fbOy06t2VsZHhMHf-1x7Y/edit?usp=sharing"",""แผน!G56"")"),0)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IFERROR(__xludf.DUMMYFUNCTION("IMPORTRANGE(""https://docs.google.com/spreadsheets/d/1eHaY18a8A9IcSdp1K8H6x8fbOy06t2VsZHhMHf-1x7Y/edit?usp=sharing"",""แผน!D56"")"),0)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IFERROR(__xludf.DUMMYFUNCTION("IMPORTRANGE(""https://docs.google.com/spreadsheets/d/1eHaY18a8A9IcSdp1K8H6x8fbOy06t2VsZHhMHf-1x7Y/edit?usp=sharing"",""แผน!E56"")"),0)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IFERROR(__xludf.DUMMYFUNCTION("IMPORTRANGE(""https://docs.google.com/spreadsheets/d/1eHaY18a8A9IcSdp1K8H6x8fbOy06t2VsZHhMHf-1x7Y/edit?usp=sharing"",""แผน!J56"")"),0)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IFERROR(__xludf.DUMMYFUNCTION("IMPORTRANGE(""https://docs.google.com/spreadsheets/d/1-uDff_7J0KD5mKrp0Vvzr7lt3OU09vwQwhkpOPPYv2Y/edit?usp=sharing"",""งบพรบ!AW56"")"),0)</f>
        <v>0</v>
      </c>
      <c r="M99" s="427">
        <f ca="1">IFERROR(__xludf.DUMMYFUNCTION("IMPORTRANGE(""https://docs.google.com/spreadsheets/d/1-uDff_7J0KD5mKrp0Vvzr7lt3OU09vwQwhkpOPPYv2Y/edit?usp=sharing"",""งบพรบ!BB56"")"),0)</f>
        <v>0</v>
      </c>
      <c r="N99" s="427">
        <f ca="1">IFERROR(__xludf.DUMMYFUNCTION("IMPORTRANGE(""https://docs.google.com/spreadsheets/d/1-uDff_7J0KD5mKrp0Vvzr7lt3OU09vwQwhkpOPPYv2Y/edit?usp=sharing"",""งบพรบ!BD56"")"),0)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IFERROR(__xludf.DUMMYFUNCTION("IMPORTRANGE(""https://docs.google.com/spreadsheets/d/1-uDff_7J0KD5mKrp0Vvzr7lt3OU09vwQwhkpOPPYv2Y/edit?usp=sharing"",""งบพรบ!AZ56"")"),0)</f>
        <v>0</v>
      </c>
      <c r="M102" s="427">
        <f ca="1">IFERROR(__xludf.DUMMYFUNCTION("IMPORTRANGE(""https://docs.google.com/spreadsheets/d/1-uDff_7J0KD5mKrp0Vvzr7lt3OU09vwQwhkpOPPYv2Y/edit?usp=sharing"",""งบพรบ!BC56"")"),0)</f>
        <v>0</v>
      </c>
      <c r="N102" s="427">
        <f ca="1">IFERROR(__xludf.DUMMYFUNCTION("IMPORTRANGE(""https://docs.google.com/spreadsheets/d/1-uDff_7J0KD5mKrp0Vvzr7lt3OU09vwQwhkpOPPYv2Y/edit?usp=sharing"",""งบพรบ!BE56"")"),0)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IFERROR(__xludf.DUMMYFUNCTION("IMPORTRANGE(""https://docs.google.com/spreadsheets/d/1eHaY18a8A9IcSdp1K8H6x8fbOy06t2VsZHhMHf-1x7Y/edit?usp=sharing"",""แผน!N56"")"),0)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IFERROR(__xludf.DUMMYFUNCTION("IMPORTRANGE(""https://docs.google.com/spreadsheets/d/1eHaY18a8A9IcSdp1K8H6x8fbOy06t2VsZHhMHf-1x7Y/edit?usp=sharing"",""แผน!O56"")"),0)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IFERROR(__xludf.DUMMYFUNCTION("IMPORTRANGE(""https://docs.google.com/spreadsheets/d/1eHaY18a8A9IcSdp1K8H6x8fbOy06t2VsZHhMHf-1x7Y/edit?usp=sharing"",""แผน!R56"")"),0)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IFERROR(__xludf.DUMMYFUNCTION("IMPORTRANGE(""https://docs.google.com/spreadsheets/d/1-uDff_7J0KD5mKrp0Vvzr7lt3OU09vwQwhkpOPPYv2Y/edit?usp=sharing"",""งบพรบ!BG56"")"),0)</f>
        <v>0</v>
      </c>
      <c r="M130" s="864">
        <f ca="1">IFERROR(__xludf.DUMMYFUNCTION("IMPORTRANGE(""https://docs.google.com/spreadsheets/d/1-uDff_7J0KD5mKrp0Vvzr7lt3OU09vwQwhkpOPPYv2Y/edit?usp=sharing"",""งบพรบ!BL56"")"),0)</f>
        <v>0</v>
      </c>
      <c r="N130" s="864">
        <f ca="1">IFERROR(__xludf.DUMMYFUNCTION("IMPORTRANGE(""https://docs.google.com/spreadsheets/d/1-uDff_7J0KD5mKrp0Vvzr7lt3OU09vwQwhkpOPPYv2Y/edit?usp=sharing"",""งบพรบ!BN56"")"),0)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IFERROR(__xludf.DUMMYFUNCTION("IMPORTRANGE(""https://docs.google.com/spreadsheets/d/1-uDff_7J0KD5mKrp0Vvzr7lt3OU09vwQwhkpOPPYv2Y/edit?usp=sharing"",""งบพรบ!BJ56"")"),0)</f>
        <v>0</v>
      </c>
      <c r="M133" s="864">
        <f ca="1">IFERROR(__xludf.DUMMYFUNCTION("IMPORTRANGE(""https://docs.google.com/spreadsheets/d/1-uDff_7J0KD5mKrp0Vvzr7lt3OU09vwQwhkpOPPYv2Y/edit?usp=sharing"",""งบพรบ!BM56"")"),0)</f>
        <v>0</v>
      </c>
      <c r="N133" s="864">
        <f ca="1">IFERROR(__xludf.DUMMYFUNCTION("IMPORTRANGE(""https://docs.google.com/spreadsheets/d/1-uDff_7J0KD5mKrp0Vvzr7lt3OU09vwQwhkpOPPYv2Y/edit?usp=sharing"",""งบพรบ!BO56"")"),0)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10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1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95500</v>
      </c>
      <c r="M139" s="715">
        <f ca="1">M140+M141</f>
        <v>70300</v>
      </c>
      <c r="N139" s="715">
        <f ca="1">N140+N141</f>
        <v>22000</v>
      </c>
      <c r="O139" s="715">
        <f t="shared" ref="O139:O147" ca="1" si="21">IF(L139&gt;0,N139*100/L139,0)</f>
        <v>23.036649214659686</v>
      </c>
      <c r="P139" s="715">
        <f t="shared" ref="P139:P147" ca="1" si="22">IF(M139&gt;0,N139*100/M139,0)</f>
        <v>31.294452347083926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95500</v>
      </c>
      <c r="M141" s="427">
        <f t="shared" ca="1" si="23"/>
        <v>70300</v>
      </c>
      <c r="N141" s="427">
        <f t="shared" ca="1" si="23"/>
        <v>22000</v>
      </c>
      <c r="O141" s="427">
        <f t="shared" ca="1" si="21"/>
        <v>23.036649214659686</v>
      </c>
      <c r="P141" s="427">
        <f t="shared" ca="1" si="22"/>
        <v>31.294452347083926</v>
      </c>
    </row>
    <row r="142" spans="1:16" ht="18.75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95500</v>
      </c>
      <c r="M142" s="427">
        <f ca="1">M143+M144</f>
        <v>70300</v>
      </c>
      <c r="N142" s="427">
        <f ca="1">N143+N144</f>
        <v>22000</v>
      </c>
      <c r="O142" s="427">
        <f t="shared" ca="1" si="21"/>
        <v>23.036649214659686</v>
      </c>
      <c r="P142" s="427">
        <f t="shared" ca="1" si="22"/>
        <v>31.294452347083926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IFERROR(__xludf.DUMMYFUNCTION("IMPORTRANGE(""https://docs.google.com/spreadsheets/d/1-uDff_7J0KD5mKrp0Vvzr7lt3OU09vwQwhkpOPPYv2Y/edit?usp=sharing"",""งบพรบ!BQ56"")"),95500)</f>
        <v>95500</v>
      </c>
      <c r="M144" s="427">
        <f ca="1">IFERROR(__xludf.DUMMYFUNCTION("IMPORTRANGE(""https://docs.google.com/spreadsheets/d/1-uDff_7J0KD5mKrp0Vvzr7lt3OU09vwQwhkpOPPYv2Y/edit?usp=sharing"",""งบพรบ!BV56"")"),70300)</f>
        <v>70300</v>
      </c>
      <c r="N144" s="427">
        <f ca="1">IFERROR(__xludf.DUMMYFUNCTION("IMPORTRANGE(""https://docs.google.com/spreadsheets/d/1-uDff_7J0KD5mKrp0Vvzr7lt3OU09vwQwhkpOPPYv2Y/edit?usp=sharing"",""งบพรบ!BX56"")"),22000)</f>
        <v>22000</v>
      </c>
      <c r="O144" s="427">
        <f t="shared" ca="1" si="21"/>
        <v>23.036649214659686</v>
      </c>
      <c r="P144" s="427">
        <f t="shared" ca="1" si="22"/>
        <v>31.294452347083926</v>
      </c>
    </row>
    <row r="145" spans="1:16" ht="18.75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IFERROR(__xludf.DUMMYFUNCTION("IMPORTRANGE(""https://docs.google.com/spreadsheets/d/1-uDff_7J0KD5mKrp0Vvzr7lt3OU09vwQwhkpOPPYv2Y/edit?usp=sharing"",""งบพรบ!BT56"")"),0)</f>
        <v>0</v>
      </c>
      <c r="M147" s="427">
        <f ca="1">IFERROR(__xludf.DUMMYFUNCTION("IMPORTRANGE(""https://docs.google.com/spreadsheets/d/1-uDff_7J0KD5mKrp0Vvzr7lt3OU09vwQwhkpOPPYv2Y/edit?usp=sharing"",""งบพรบ!BW56"")"),0)</f>
        <v>0</v>
      </c>
      <c r="N147" s="427">
        <f ca="1">IFERROR(__xludf.DUMMYFUNCTION("IMPORTRANGE(""https://docs.google.com/spreadsheets/d/1-uDff_7J0KD5mKrp0Vvzr7lt3OU09vwQwhkpOPPYv2Y/edit?usp=sharing"",""งบพรบ!BY56"")"),0)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IFERROR(__xludf.DUMMYFUNCTION("IMPORTRANGE(""https://docs.google.com/spreadsheets/d/1eHaY18a8A9IcSdp1K8H6x8fbOy06t2VsZHhMHf-1x7Y/edit?usp=sharing"",""แผน!U56"")"),0)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IFERROR(__xludf.DUMMYFUNCTION("IMPORTRANGE(""https://docs.google.com/spreadsheets/d/1eHaY18a8A9IcSdp1K8H6x8fbOy06t2VsZHhMHf-1x7Y/edit?usp=sharing"",""แผน!V56"")"),0)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IFERROR(__xludf.DUMMYFUNCTION("IMPORTRANGE(""https://docs.google.com/spreadsheets/d/1eHaY18a8A9IcSdp1K8H6x8fbOy06t2VsZHhMHf-1x7Y/edit?usp=sharing"",""แผน!W56"")"),10)</f>
        <v>10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IFERROR(__xludf.DUMMYFUNCTION("IMPORTRANGE(""https://docs.google.com/spreadsheets/d/1eHaY18a8A9IcSdp1K8H6x8fbOy06t2VsZHhMHf-1x7Y/edit?usp=sharing"",""แผน!X56"")"),1)</f>
        <v>1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IFERROR(__xludf.DUMMYFUNCTION("IMPORTRANGE(""https://docs.google.com/spreadsheets/d/1eHaY18a8A9IcSdp1K8H6x8fbOy06t2VsZHhMHf-1x7Y/edit?usp=sharing"",""แผน!Y56"")"),0)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IFERROR(__xludf.DUMMYFUNCTION("IMPORTRANGE(""https://docs.google.com/spreadsheets/d/1-uDff_7J0KD5mKrp0Vvzr7lt3OU09vwQwhkpOPPYv2Y/edit?usp=sharing"",""งบพรบ!CA56"")"),0)</f>
        <v>0</v>
      </c>
      <c r="M162" s="427">
        <f ca="1">IFERROR(__xludf.DUMMYFUNCTION("IMPORTRANGE(""https://docs.google.com/spreadsheets/d/1-uDff_7J0KD5mKrp0Vvzr7lt3OU09vwQwhkpOPPYv2Y/edit?usp=sharing"",""งบพรบ!CF56"")"),0)</f>
        <v>0</v>
      </c>
      <c r="N162" s="427">
        <f ca="1">IFERROR(__xludf.DUMMYFUNCTION("IMPORTRANGE(""https://docs.google.com/spreadsheets/d/1-uDff_7J0KD5mKrp0Vvzr7lt3OU09vwQwhkpOPPYv2Y/edit?usp=sharing"",""งบพรบ!CH56"")"),0)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IFERROR(__xludf.DUMMYFUNCTION("IMPORTRANGE(""https://docs.google.com/spreadsheets/d/1-uDff_7J0KD5mKrp0Vvzr7lt3OU09vwQwhkpOPPYv2Y/edit?usp=sharing"",""งบพรบ!CD56"")"),0)</f>
        <v>0</v>
      </c>
      <c r="M165" s="427">
        <f ca="1">IFERROR(__xludf.DUMMYFUNCTION("IMPORTRANGE(""https://docs.google.com/spreadsheets/d/1-uDff_7J0KD5mKrp0Vvzr7lt3OU09vwQwhkpOPPYv2Y/edit?usp=sharing"",""งบพรบ!CG56"")"),0)</f>
        <v>0</v>
      </c>
      <c r="N165" s="427">
        <f ca="1">IFERROR(__xludf.DUMMYFUNCTION("IMPORTRANGE(""https://docs.google.com/spreadsheets/d/1-uDff_7J0KD5mKrp0Vvzr7lt3OU09vwQwhkpOPPYv2Y/edit?usp=sharing"",""งบพรบ!CI56"")"),0)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IFERROR(__xludf.DUMMYFUNCTION("IMPORTRANGE(""https://docs.google.com/spreadsheets/d/1eHaY18a8A9IcSdp1K8H6x8fbOy06t2VsZHhMHf-1x7Y/edit?usp=sharing"",""แผน!Z56"")"),0)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IFERROR(__xludf.DUMMYFUNCTION("IMPORTRANGE(""https://docs.google.com/spreadsheets/d/1eHaY18a8A9IcSdp1K8H6x8fbOy06t2VsZHhMHf-1x7Y/edit?usp=sharing"",""แผน!Z56"")"),0)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IFERROR(__xludf.DUMMYFUNCTION("IMPORTRANGE(""https://docs.google.com/spreadsheets/d/1eHaY18a8A9IcSdp1K8H6x8fbOy06t2VsZHhMHf-1x7Y/edit?usp=sharing"",""แผน!Z56"")"),0)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hidden="1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hidden="1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hidden="1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0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hidden="1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0</v>
      </c>
      <c r="M173" s="715">
        <f ca="1">M174+M175</f>
        <v>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hidden="1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0</v>
      </c>
      <c r="M175" s="427">
        <f t="shared" ca="1" si="29"/>
        <v>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hidden="1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0</v>
      </c>
      <c r="M176" s="427">
        <f ca="1">M177+M178</f>
        <v>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hidden="1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IFERROR(__xludf.DUMMYFUNCTION("IMPORTRANGE(""https://docs.google.com/spreadsheets/d/1-uDff_7J0KD5mKrp0Vvzr7lt3OU09vwQwhkpOPPYv2Y/edit?usp=sharing"",""งบพรบ!CK56"")"),0)</f>
        <v>0</v>
      </c>
      <c r="M178" s="427">
        <f ca="1">IFERROR(__xludf.DUMMYFUNCTION("IMPORTRANGE(""https://docs.google.com/spreadsheets/d/1-uDff_7J0KD5mKrp0Vvzr7lt3OU09vwQwhkpOPPYv2Y/edit?usp=sharing"",""งบพรบ!CP56"")"),0)</f>
        <v>0</v>
      </c>
      <c r="N178" s="427">
        <f ca="1">IFERROR(__xludf.DUMMYFUNCTION("IMPORTRANGE(""https://docs.google.com/spreadsheets/d/1-uDff_7J0KD5mKrp0Vvzr7lt3OU09vwQwhkpOPPYv2Y/edit?usp=sharing"",""งบพรบ!CR56"")"),0)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hidden="1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hidden="1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IFERROR(__xludf.DUMMYFUNCTION("IMPORTRANGE(""https://docs.google.com/spreadsheets/d/1-uDff_7J0KD5mKrp0Vvzr7lt3OU09vwQwhkpOPPYv2Y/edit?usp=sharing"",""งบพรบ!CN56"")"),0)</f>
        <v>0</v>
      </c>
      <c r="M181" s="427">
        <f ca="1">IFERROR(__xludf.DUMMYFUNCTION("IMPORTRANGE(""https://docs.google.com/spreadsheets/d/1-uDff_7J0KD5mKrp0Vvzr7lt3OU09vwQwhkpOPPYv2Y/edit?usp=sharing"",""งบพรบ!CQ56"")"),0)</f>
        <v>0</v>
      </c>
      <c r="N181" s="427">
        <f ca="1">IFERROR(__xludf.DUMMYFUNCTION("IMPORTRANGE(""https://docs.google.com/spreadsheets/d/1-uDff_7J0KD5mKrp0Vvzr7lt3OU09vwQwhkpOPPYv2Y/edit?usp=sharing"",""งบพรบ!CS56"")"),0)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hidden="1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hidden="1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IFERROR(__xludf.DUMMYFUNCTION("IMPORTRANGE(""https://docs.google.com/spreadsheets/d/1eHaY18a8A9IcSdp1K8H6x8fbOy06t2VsZHhMHf-1x7Y/edit?usp=sharing"",""แผน!AA56"")"),0)</f>
        <v>0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20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81100</v>
      </c>
      <c r="M186" s="715">
        <f ca="1">M187+M188</f>
        <v>64100</v>
      </c>
      <c r="N186" s="715">
        <f ca="1">N187+N188</f>
        <v>34625</v>
      </c>
      <c r="O186" s="715">
        <f t="shared" ref="O186:O194" ca="1" si="30">IF(L186&gt;0,N186*100/L186,0)</f>
        <v>42.694204685573368</v>
      </c>
      <c r="P186" s="715">
        <f t="shared" ref="P186:P194" ca="1" si="31">IF(M186&gt;0,N186*100/M186,0)</f>
        <v>54.017160686427459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81100</v>
      </c>
      <c r="M188" s="427">
        <f t="shared" ca="1" si="32"/>
        <v>64100</v>
      </c>
      <c r="N188" s="427">
        <f t="shared" ca="1" si="32"/>
        <v>34625</v>
      </c>
      <c r="O188" s="427">
        <f t="shared" ca="1" si="30"/>
        <v>42.694204685573368</v>
      </c>
      <c r="P188" s="427">
        <f t="shared" ca="1" si="31"/>
        <v>54.017160686427459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81100</v>
      </c>
      <c r="M189" s="427">
        <f ca="1">M190+M191</f>
        <v>64100</v>
      </c>
      <c r="N189" s="427">
        <f ca="1">N190+N191</f>
        <v>34625</v>
      </c>
      <c r="O189" s="427">
        <f t="shared" ca="1" si="30"/>
        <v>42.694204685573368</v>
      </c>
      <c r="P189" s="427">
        <f t="shared" ca="1" si="31"/>
        <v>54.017160686427459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IFERROR(__xludf.DUMMYFUNCTION("IMPORTRANGE(""https://docs.google.com/spreadsheets/d/1-uDff_7J0KD5mKrp0Vvzr7lt3OU09vwQwhkpOPPYv2Y/edit?usp=sharing"",""งบพรบ!CU56"")"),81100)</f>
        <v>81100</v>
      </c>
      <c r="M191" s="427">
        <f ca="1">IFERROR(__xludf.DUMMYFUNCTION("IMPORTRANGE(""https://docs.google.com/spreadsheets/d/1-uDff_7J0KD5mKrp0Vvzr7lt3OU09vwQwhkpOPPYv2Y/edit?usp=sharing"",""งบพรบ!CZ56"")"),64100)</f>
        <v>64100</v>
      </c>
      <c r="N191" s="427">
        <f ca="1">IFERROR(__xludf.DUMMYFUNCTION("IMPORTRANGE(""https://docs.google.com/spreadsheets/d/1-uDff_7J0KD5mKrp0Vvzr7lt3OU09vwQwhkpOPPYv2Y/edit?usp=sharing"",""งบพรบ!DB56"")"),34625)</f>
        <v>34625</v>
      </c>
      <c r="O191" s="427">
        <f t="shared" ca="1" si="30"/>
        <v>42.694204685573368</v>
      </c>
      <c r="P191" s="427">
        <f t="shared" ca="1" si="31"/>
        <v>54.017160686427459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IFERROR(__xludf.DUMMYFUNCTION("IMPORTRANGE(""https://docs.google.com/spreadsheets/d/1-uDff_7J0KD5mKrp0Vvzr7lt3OU09vwQwhkpOPPYv2Y/edit?usp=sharing"",""งบพรบ!CX56"")"),0)</f>
        <v>0</v>
      </c>
      <c r="M194" s="427">
        <f ca="1">IFERROR(__xludf.DUMMYFUNCTION("IMPORTRANGE(""https://docs.google.com/spreadsheets/d/1-uDff_7J0KD5mKrp0Vvzr7lt3OU09vwQwhkpOPPYv2Y/edit?usp=sharing"",""งบพรบ!DA56"")"),0)</f>
        <v>0</v>
      </c>
      <c r="N194" s="427">
        <f ca="1">IFERROR(__xludf.DUMMYFUNCTION("IMPORTRANGE(""https://docs.google.com/spreadsheets/d/1-uDff_7J0KD5mKrp0Vvzr7lt3OU09vwQwhkpOPPYv2Y/edit?usp=sharing"",""งบพรบ!DC56"")"),0)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IFERROR(__xludf.DUMMYFUNCTION("IMPORTRANGE(""https://docs.google.com/spreadsheets/d/1eHaY18a8A9IcSdp1K8H6x8fbOy06t2VsZHhMHf-1x7Y/edit?usp=sharing"",""แผน!AB56"")"),6000)</f>
        <v>6000</v>
      </c>
      <c r="M196" s="430"/>
      <c r="N196" s="827">
        <f>240+500</f>
        <v>740</v>
      </c>
      <c r="O196" s="715">
        <f ca="1">IF(L196&gt;0,N196*100/L196,0)</f>
        <v>12.333333333333334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IFERROR(__xludf.DUMMYFUNCTION("IMPORTRANGE(""https://docs.google.com/spreadsheets/d/1eHaY18a8A9IcSdp1K8H6x8fbOy06t2VsZHhMHf-1x7Y/edit?usp=sharing"",""แผน!AE56"")"),4)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29000</v>
      </c>
      <c r="M203" s="430"/>
      <c r="N203" s="715">
        <f>N204+N205+N206+N207</f>
        <v>13402</v>
      </c>
      <c r="O203" s="715">
        <f ca="1">IF(L203&gt;0,N203*100/L203,0)</f>
        <v>46.213793103448275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IFERROR(__xludf.DUMMYFUNCTION("IMPORTRANGE(""https://docs.google.com/spreadsheets/d/1eHaY18a8A9IcSdp1K8H6x8fbOy06t2VsZHhMHf-1x7Y/edit?usp=sharing"",""แผน!AG56"")"),2000)</f>
        <v>2000</v>
      </c>
      <c r="M204" s="430"/>
      <c r="N204" s="818">
        <v>1240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IFERROR(__xludf.DUMMYFUNCTION("IMPORTRANGE(""https://docs.google.com/spreadsheets/d/1eHaY18a8A9IcSdp1K8H6x8fbOy06t2VsZHhMHf-1x7Y/edit?usp=sharing"",""แผน!AH56"")"),0)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IFERROR(__xludf.DUMMYFUNCTION("IMPORTRANGE(""https://docs.google.com/spreadsheets/d/1eHaY18a8A9IcSdp1K8H6x8fbOy06t2VsZHhMHf-1x7Y/edit?usp=sharing"",""แผน!AI56"")"),16000)</f>
        <v>16000</v>
      </c>
      <c r="M206" s="430"/>
      <c r="N206" s="818">
        <v>12162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IFERROR(__xludf.DUMMYFUNCTION("IMPORTRANGE(""https://docs.google.com/spreadsheets/d/1eHaY18a8A9IcSdp1K8H6x8fbOy06t2VsZHhMHf-1x7Y/edit?usp=sharing"",""แผน!AJ56"")"),11000)</f>
        <v>11000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IFERROR(__xludf.DUMMYFUNCTION("IMPORTRANGE(""https://docs.google.com/spreadsheets/d/1eHaY18a8A9IcSdp1K8H6x8fbOy06t2VsZHhMHf-1x7Y/edit?usp=sharing"",""แผน!AK56"")"),2)</f>
        <v>2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IFERROR(__xludf.DUMMYFUNCTION("IMPORTRANGE(""https://docs.google.com/spreadsheets/d/1eHaY18a8A9IcSdp1K8H6x8fbOy06t2VsZHhMHf-1x7Y/edit?usp=sharing"",""แผน!JX56"")"),2)</f>
        <v>2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IFERROR(__xludf.DUMMYFUNCTION("IMPORTRANGE(""https://docs.google.com/spreadsheets/d/1eHaY18a8A9IcSdp1K8H6x8fbOy06t2VsZHhMHf-1x7Y/edit?usp=sharing"",""แผน!JY56"")"),1)</f>
        <v>1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IFERROR(__xludf.DUMMYFUNCTION("IMPORTRANGE(""https://docs.google.com/spreadsheets/d/1eHaY18a8A9IcSdp1K8H6x8fbOy06t2VsZHhMHf-1x7Y/edit?usp=sharing"",""แผน!AM56"")"),0)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IFERROR(__xludf.DUMMYFUNCTION("IMPORTRANGE(""https://docs.google.com/spreadsheets/d/1eHaY18a8A9IcSdp1K8H6x8fbOy06t2VsZHhMHf-1x7Y/edit?usp=sharing"",""แผน!AN56"")"),0)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IFERROR(__xludf.DUMMYFUNCTION("IMPORTRANGE(""https://docs.google.com/spreadsheets/d/1eHaY18a8A9IcSdp1K8H6x8fbOy06t2VsZHhMHf-1x7Y/edit?usp=sharing"",""แผน!AO56"")"),0)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IFERROR(__xludf.DUMMYFUNCTION("IMPORTRANGE(""https://docs.google.com/spreadsheets/d/1eHaY18a8A9IcSdp1K8H6x8fbOy06t2VsZHhMHf-1x7Y/edit?usp=sharing"",""แผน!AP56"")"),0)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IFERROR(__xludf.DUMMYFUNCTION("IMPORTRANGE(""https://docs.google.com/spreadsheets/d/1eHaY18a8A9IcSdp1K8H6x8fbOy06t2VsZHhMHf-1x7Y/edit?usp=sharing"",""แผน!AP56"")"),0)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IFERROR(__xludf.DUMMYFUNCTION("IMPORTRANGE(""https://docs.google.com/spreadsheets/d/1eHaY18a8A9IcSdp1K8H6x8fbOy06t2VsZHhMHf-1x7Y/edit?usp=sharing"",""แผน!AR56"")"),3000)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IFERROR(__xludf.DUMMYFUNCTION("IMPORTRANGE(""https://docs.google.com/spreadsheets/d/1eHaY18a8A9IcSdp1K8H6x8fbOy06t2VsZHhMHf-1x7Y/edit?usp=sharing"",""แผน!AS56"")"),1500)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IFERROR(__xludf.DUMMYFUNCTION("IMPORTRANGE(""https://docs.google.com/spreadsheets/d/1eHaY18a8A9IcSdp1K8H6x8fbOy06t2VsZHhMHf-1x7Y/edit?usp=sharing"",""แผน!AT56"")"),0)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IFERROR(__xludf.DUMMYFUNCTION("IMPORTRANGE(""https://docs.google.com/spreadsheets/d/1eHaY18a8A9IcSdp1K8H6x8fbOy06t2VsZHhMHf-1x7Y/edit?usp=sharing"",""แผน!AV56"")"),5000)</f>
        <v>5000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IFERROR(__xludf.DUMMYFUNCTION("IMPORTRANGE(""https://docs.google.com/spreadsheets/d/1eHaY18a8A9IcSdp1K8H6x8fbOy06t2VsZHhMHf-1x7Y/edit?usp=sharing"",""แผน!AV56"")"),5000)</f>
        <v>5000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IFERROR(__xludf.DUMMYFUNCTION("IMPORTRANGE(""https://docs.google.com/spreadsheets/d/1eHaY18a8A9IcSdp1K8H6x8fbOy06t2VsZHhMHf-1x7Y/edit?usp=sharing"",""แผน!AU56"")"),0)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20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41600</v>
      </c>
      <c r="M232" s="501"/>
      <c r="N232" s="525">
        <f>N243+N254</f>
        <v>20483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3443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4440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12600</v>
      </c>
      <c r="M235" s="501"/>
      <c r="N235" s="502">
        <f>N246+N257</f>
        <v>12600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19000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20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20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160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41600</v>
      </c>
      <c r="M243" s="58"/>
      <c r="N243" s="161">
        <f>N244+N245+N246+N247</f>
        <v>20483</v>
      </c>
      <c r="O243" s="161">
        <f ca="1">IF(L243&gt;0,N243*100/L243,0)</f>
        <v>49.237980769230766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IFERROR(__xludf.DUMMYFUNCTION("IMPORTRANGE(""https://docs.google.com/spreadsheets/d/1eHaY18a8A9IcSdp1K8H6x8fbOy06t2VsZHhMHf-1x7Y/edit?usp=sharing"",""แผน!AX56"")"),8000)</f>
        <v>8000</v>
      </c>
      <c r="M244" s="58"/>
      <c r="N244" s="600">
        <v>3443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IFERROR(__xludf.DUMMYFUNCTION("IMPORTRANGE(""https://docs.google.com/spreadsheets/d/1eHaY18a8A9IcSdp1K8H6x8fbOy06t2VsZHhMHf-1x7Y/edit?usp=sharing"",""แผน!AY56"")"),2000)</f>
        <v>2000</v>
      </c>
      <c r="M245" s="58"/>
      <c r="N245" s="600">
        <f>2000+1700+740</f>
        <v>4440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IFERROR(__xludf.DUMMYFUNCTION("IMPORTRANGE(""https://docs.google.com/spreadsheets/d/1eHaY18a8A9IcSdp1K8H6x8fbOy06t2VsZHhMHf-1x7Y/edit?usp=sharing"",""แผน!AZ56"")"),12600)</f>
        <v>12600</v>
      </c>
      <c r="M246" s="58"/>
      <c r="N246" s="600">
        <v>12600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IFERROR(__xludf.DUMMYFUNCTION("IMPORTRANGE(""https://docs.google.com/spreadsheets/d/1eHaY18a8A9IcSdp1K8H6x8fbOy06t2VsZHhMHf-1x7Y/edit?usp=sharing"",""แผน!BA56"")"),19000)</f>
        <v>19000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IFERROR(__xludf.DUMMYFUNCTION("IMPORTRANGE(""https://docs.google.com/spreadsheets/d/1eHaY18a8A9IcSdp1K8H6x8fbOy06t2VsZHhMHf-1x7Y/edit?usp=sharing"",""แผน!BG56"")"),20)</f>
        <v>20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IFERROR(__xludf.DUMMYFUNCTION("IMPORTRANGE(""https://docs.google.com/spreadsheets/d/1eHaY18a8A9IcSdp1K8H6x8fbOy06t2VsZHhMHf-1x7Y/edit?usp=sharing"",""แผน!KD56"")"),20)</f>
        <v>20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IFERROR(__xludf.DUMMYFUNCTION("IMPORTRANGE(""https://docs.google.com/spreadsheets/d/1eHaY18a8A9IcSdp1K8H6x8fbOy06t2VsZHhMHf-1x7Y/edit?usp=sharing"",""แผน!KE56"")"),1)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IFERROR(__xludf.DUMMYFUNCTION("IMPORTRANGE(""https://docs.google.com/spreadsheets/d/1eHaY18a8A9IcSdp1K8H6x8fbOy06t2VsZHhMHf-1x7Y/edit?usp=sharing"",""แผน!BB56"")"),0)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IFERROR(__xludf.DUMMYFUNCTION("IMPORTRANGE(""https://docs.google.com/spreadsheets/d/1eHaY18a8A9IcSdp1K8H6x8fbOy06t2VsZHhMHf-1x7Y/edit?usp=sharing"",""แผน!BC56"")"),0)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IFERROR(__xludf.DUMMYFUNCTION("IMPORTRANGE(""https://docs.google.com/spreadsheets/d/1eHaY18a8A9IcSdp1K8H6x8fbOy06t2VsZHhMHf-1x7Y/edit?usp=sharing"",""แผน!BD56"")"),0)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IFERROR(__xludf.DUMMYFUNCTION("IMPORTRANGE(""https://docs.google.com/spreadsheets/d/1eHaY18a8A9IcSdp1K8H6x8fbOy06t2VsZHhMHf-1x7Y/edit?usp=sharing"",""แผน!BE56"")"),0)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IFERROR(__xludf.DUMMYFUNCTION("IMPORTRANGE(""https://docs.google.com/spreadsheets/d/1eHaY18a8A9IcSdp1K8H6x8fbOy06t2VsZHhMHf-1x7Y/edit?usp=sharing"",""แผน!BH56"")"),0)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IFERROR(__xludf.DUMMYFUNCTION("IMPORTRANGE(""https://docs.google.com/spreadsheets/d/1-uDff_7J0KD5mKrp0Vvzr7lt3OU09vwQwhkpOPPYv2Y/edit?usp=sharing"",""งบพรบ!DE56"")"),0)</f>
        <v>0</v>
      </c>
      <c r="M271" s="502">
        <f ca="1">IFERROR(__xludf.DUMMYFUNCTION("IMPORTRANGE(""https://docs.google.com/spreadsheets/d/1-uDff_7J0KD5mKrp0Vvzr7lt3OU09vwQwhkpOPPYv2Y/edit?usp=sharing"",""งบพรบ!DJ56"")"),0)</f>
        <v>0</v>
      </c>
      <c r="N271" s="502">
        <f ca="1">IFERROR(__xludf.DUMMYFUNCTION("IMPORTRANGE(""https://docs.google.com/spreadsheets/d/1-uDff_7J0KD5mKrp0Vvzr7lt3OU09vwQwhkpOPPYv2Y/edit?usp=sharing"",""งบพรบ!DL56"")"),0)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IFERROR(__xludf.DUMMYFUNCTION("IMPORTRANGE(""https://docs.google.com/spreadsheets/d/1-uDff_7J0KD5mKrp0Vvzr7lt3OU09vwQwhkpOPPYv2Y/edit?usp=sharing"",""งบพรบ!DH56"")"),0)</f>
        <v>0</v>
      </c>
      <c r="M274" s="502">
        <f ca="1">IFERROR(__xludf.DUMMYFUNCTION("IMPORTRANGE(""https://docs.google.com/spreadsheets/d/1-uDff_7J0KD5mKrp0Vvzr7lt3OU09vwQwhkpOPPYv2Y/edit?usp=sharing"",""งบพรบ!DK56"")"),0)</f>
        <v>0</v>
      </c>
      <c r="N274" s="502">
        <f ca="1">IFERROR(__xludf.DUMMYFUNCTION("IMPORTRANGE(""https://docs.google.com/spreadsheets/d/1-uDff_7J0KD5mKrp0Vvzr7lt3OU09vwQwhkpOPPYv2Y/edit?usp=sharing"",""งบพรบ!DM56"")"),0)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IFERROR(__xludf.DUMMYFUNCTION("IMPORTRANGE(""https://docs.google.com/spreadsheets/d/1-uDff_7J0KD5mKrp0Vvzr7lt3OU09vwQwhkpOPPYv2Y/edit?usp=sharing"",""งบพรบ!DO56"")"),0)</f>
        <v>0</v>
      </c>
      <c r="M287" s="427">
        <f ca="1">IFERROR(__xludf.DUMMYFUNCTION("IMPORTRANGE(""https://docs.google.com/spreadsheets/d/1-uDff_7J0KD5mKrp0Vvzr7lt3OU09vwQwhkpOPPYv2Y/edit?usp=sharing"",""งบพรบ!DT56"")"),0)</f>
        <v>0</v>
      </c>
      <c r="N287" s="427">
        <f ca="1">IFERROR(__xludf.DUMMYFUNCTION("IMPORTRANGE(""https://docs.google.com/spreadsheets/d/1-uDff_7J0KD5mKrp0Vvzr7lt3OU09vwQwhkpOPPYv2Y/edit?usp=sharing"",""งบพรบ!DV56"")"),0)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IFERROR(__xludf.DUMMYFUNCTION("IMPORTRANGE(""https://docs.google.com/spreadsheets/d/1-uDff_7J0KD5mKrp0Vvzr7lt3OU09vwQwhkpOPPYv2Y/edit?usp=sharing"",""งบพรบ!DR56"")"),0)</f>
        <v>0</v>
      </c>
      <c r="M290" s="427">
        <f ca="1">IFERROR(__xludf.DUMMYFUNCTION("IMPORTRANGE(""https://docs.google.com/spreadsheets/d/1-uDff_7J0KD5mKrp0Vvzr7lt3OU09vwQwhkpOPPYv2Y/edit?usp=sharing"",""งบพรบ!DU56"")"),0)</f>
        <v>0</v>
      </c>
      <c r="N290" s="427">
        <f ca="1">IFERROR(__xludf.DUMMYFUNCTION("IMPORTRANGE(""https://docs.google.com/spreadsheets/d/1-uDff_7J0KD5mKrp0Vvzr7lt3OU09vwQwhkpOPPYv2Y/edit?usp=sharing"",""งบพรบ!DW56"")"),0)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IFERROR(__xludf.DUMMYFUNCTION("IMPORTRANGE(""https://docs.google.com/spreadsheets/d/1eHaY18a8A9IcSdp1K8H6x8fbOy06t2VsZHhMHf-1x7Y/edit?usp=sharing"",""แผน!EE56"")"),0)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IFERROR(__xludf.DUMMYFUNCTION("IMPORTRANGE(""https://docs.google.com/spreadsheets/d/1eHaY18a8A9IcSdp1K8H6x8fbOy06t2VsZHhMHf-1x7Y/edit?usp=sharing"",""แผน!ED56"")"),0)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IFERROR(__xludf.DUMMYFUNCTION("IMPORTRANGE(""https://docs.google.com/spreadsheets/d/1eHaY18a8A9IcSdp1K8H6x8fbOy06t2VsZHhMHf-1x7Y/edit?usp=sharing"",""แผน!ED56"")"),0)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IFERROR(__xludf.DUMMYFUNCTION("IMPORTRANGE(""https://docs.google.com/spreadsheets/d/1eHaY18a8A9IcSdp1K8H6x8fbOy06t2VsZHhMHf-1x7Y/edit?usp=sharing"",""แผน!ED56"")"),0)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IFERROR(__xludf.DUMMYFUNCTION("IMPORTRANGE(""https://docs.google.com/spreadsheets/d/1-uDff_7J0KD5mKrp0Vvzr7lt3OU09vwQwhkpOPPYv2Y/edit?usp=sharing"",""งบพรบ!DY56"")"),0)</f>
        <v>0</v>
      </c>
      <c r="M308" s="427">
        <f ca="1">IFERROR(__xludf.DUMMYFUNCTION("IMPORTRANGE(""https://docs.google.com/spreadsheets/d/1-uDff_7J0KD5mKrp0Vvzr7lt3OU09vwQwhkpOPPYv2Y/edit?usp=sharing"",""งบพรบ!ED56"")"),0)</f>
        <v>0</v>
      </c>
      <c r="N308" s="427">
        <f ca="1">IFERROR(__xludf.DUMMYFUNCTION("IMPORTRANGE(""https://docs.google.com/spreadsheets/d/1-uDff_7J0KD5mKrp0Vvzr7lt3OU09vwQwhkpOPPYv2Y/edit?usp=sharing"",""งบพรบ!EF56"")"),0)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IFERROR(__xludf.DUMMYFUNCTION("IMPORTRANGE(""https://docs.google.com/spreadsheets/d/1-uDff_7J0KD5mKrp0Vvzr7lt3OU09vwQwhkpOPPYv2Y/edit?usp=sharing"",""งบพรบ!EB56"")"),0)</f>
        <v>0</v>
      </c>
      <c r="M311" s="427">
        <f ca="1">IFERROR(__xludf.DUMMYFUNCTION("IMPORTRANGE(""https://docs.google.com/spreadsheets/d/1-uDff_7J0KD5mKrp0Vvzr7lt3OU09vwQwhkpOPPYv2Y/edit?usp=sharing"",""งบพรบ!EE56"")"),0)</f>
        <v>0</v>
      </c>
      <c r="N311" s="427">
        <f ca="1">IFERROR(__xludf.DUMMYFUNCTION("IMPORTRANGE(""https://docs.google.com/spreadsheets/d/1-uDff_7J0KD5mKrp0Vvzr7lt3OU09vwQwhkpOPPYv2Y/edit?usp=sharing"",""งบพรบ!EG56"")"),0)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IFERROR(__xludf.DUMMYFUNCTION("IMPORTRANGE(""https://docs.google.com/spreadsheets/d/1eHaY18a8A9IcSdp1K8H6x8fbOy06t2VsZHhMHf-1x7Y/edit?usp=sharing"",""แผน!EF56"")"),0)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IFERROR(__xludf.DUMMYFUNCTION("IMPORTRANGE(""https://docs.google.com/spreadsheets/d/1eHaY18a8A9IcSdp1K8H6x8fbOy06t2VsZHhMHf-1x7Y/edit?usp=sharing"",""แผน!EG56"")"),0)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IFERROR(__xludf.DUMMYFUNCTION("IMPORTRANGE(""https://docs.google.com/spreadsheets/d/1eHaY18a8A9IcSdp1K8H6x8fbOy06t2VsZHhMHf-1x7Y/edit?usp=sharing"",""แผน!EH56"")"),0)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IFERROR(__xludf.DUMMYFUNCTION("IMPORTRANGE(""https://docs.google.com/spreadsheets/d/1eHaY18a8A9IcSdp1K8H6x8fbOy06t2VsZHhMHf-1x7Y/edit?usp=sharing"",""แผน!EI56"")"),0)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1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30000</v>
      </c>
      <c r="M320" s="715">
        <f ca="1">M321+M322</f>
        <v>30000</v>
      </c>
      <c r="N320" s="715">
        <f ca="1">N321+N322</f>
        <v>3000</v>
      </c>
      <c r="O320" s="715">
        <f t="shared" ref="O320:O328" ca="1" si="42">IF(L320&gt;0,N320*100/L320,0)</f>
        <v>10</v>
      </c>
      <c r="P320" s="715">
        <f t="shared" ref="P320:P328" ca="1" si="43">IF(M320&gt;0,N320*100/M320,0)</f>
        <v>10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30000</v>
      </c>
      <c r="M322" s="427">
        <f t="shared" ca="1" si="44"/>
        <v>30000</v>
      </c>
      <c r="N322" s="427">
        <f t="shared" ca="1" si="44"/>
        <v>3000</v>
      </c>
      <c r="O322" s="427">
        <f t="shared" ca="1" si="42"/>
        <v>10</v>
      </c>
      <c r="P322" s="427">
        <f t="shared" ca="1" si="43"/>
        <v>10</v>
      </c>
    </row>
    <row r="323" spans="1:16" ht="18.75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30000</v>
      </c>
      <c r="M323" s="427">
        <f ca="1">M324+M325</f>
        <v>30000</v>
      </c>
      <c r="N323" s="427">
        <f ca="1">N324+N325</f>
        <v>3000</v>
      </c>
      <c r="O323" s="427">
        <f t="shared" ca="1" si="42"/>
        <v>10</v>
      </c>
      <c r="P323" s="427">
        <f t="shared" ca="1" si="43"/>
        <v>10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IFERROR(__xludf.DUMMYFUNCTION("IMPORTRANGE(""https://docs.google.com/spreadsheets/d/1-uDff_7J0KD5mKrp0Vvzr7lt3OU09vwQwhkpOPPYv2Y/edit?usp=sharing"",""งบพรบ!EI56"")"),30000)</f>
        <v>30000</v>
      </c>
      <c r="M325" s="427">
        <f ca="1">IFERROR(__xludf.DUMMYFUNCTION("IMPORTRANGE(""https://docs.google.com/spreadsheets/d/1-uDff_7J0KD5mKrp0Vvzr7lt3OU09vwQwhkpOPPYv2Y/edit?usp=sharing"",""งบพรบ!EN56"")"),30000)</f>
        <v>30000</v>
      </c>
      <c r="N325" s="427">
        <f ca="1">IFERROR(__xludf.DUMMYFUNCTION("IMPORTRANGE(""https://docs.google.com/spreadsheets/d/1-uDff_7J0KD5mKrp0Vvzr7lt3OU09vwQwhkpOPPYv2Y/edit?usp=sharing"",""งบพรบ!EP56"")"),3000)</f>
        <v>3000</v>
      </c>
      <c r="O325" s="427">
        <f t="shared" ca="1" si="42"/>
        <v>10</v>
      </c>
      <c r="P325" s="427">
        <f t="shared" ca="1" si="43"/>
        <v>10</v>
      </c>
    </row>
    <row r="326" spans="1:16" ht="18.75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IFERROR(__xludf.DUMMYFUNCTION("IMPORTRANGE(""https://docs.google.com/spreadsheets/d/1-uDff_7J0KD5mKrp0Vvzr7lt3OU09vwQwhkpOPPYv2Y/edit?usp=sharing"",""งบพรบ!EL56"")"),0)</f>
        <v>0</v>
      </c>
      <c r="M328" s="427">
        <f ca="1">IFERROR(__xludf.DUMMYFUNCTION("IMPORTRANGE(""https://docs.google.com/spreadsheets/d/1-uDff_7J0KD5mKrp0Vvzr7lt3OU09vwQwhkpOPPYv2Y/edit?usp=sharing"",""งบพรบ!EO56"")"),0)</f>
        <v>0</v>
      </c>
      <c r="N328" s="427">
        <f ca="1">IFERROR(__xludf.DUMMYFUNCTION("IMPORTRANGE(""https://docs.google.com/spreadsheets/d/1-uDff_7J0KD5mKrp0Vvzr7lt3OU09vwQwhkpOPPYv2Y/edit?usp=sharing"",""งบพรบ!EQ56"")"),0)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IFERROR(__xludf.DUMMYFUNCTION("IMPORTRANGE(""https://docs.google.com/spreadsheets/d/1eHaY18a8A9IcSdp1K8H6x8fbOy06t2VsZHhMHf-1x7Y/edit?usp=sharing"",""แผน!EJ56"")"),1)</f>
        <v>1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940</v>
      </c>
      <c r="J332" s="404">
        <f ca="1">J344+J347+J348+J349+J353</f>
        <v>3006</v>
      </c>
      <c r="K332" s="405">
        <f ca="1">IF(I332&gt;0,J332*100/I332,0)</f>
        <v>319.78723404255317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106000</v>
      </c>
      <c r="M333" s="715">
        <f ca="1">M334+M335</f>
        <v>85750</v>
      </c>
      <c r="N333" s="715">
        <f ca="1">N334+N335</f>
        <v>46665.2</v>
      </c>
      <c r="O333" s="715">
        <f t="shared" ref="O333:O341" ca="1" si="45">IF(L333&gt;0,N333*100/L333,0)</f>
        <v>44.023773584905662</v>
      </c>
      <c r="P333" s="715">
        <f t="shared" ref="P333:P341" ca="1" si="46">IF(M333&gt;0,N333*100/M333,0)</f>
        <v>54.420058309037898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106000</v>
      </c>
      <c r="M335" s="427">
        <f t="shared" ca="1" si="47"/>
        <v>85750</v>
      </c>
      <c r="N335" s="427">
        <f t="shared" ca="1" si="47"/>
        <v>46665.2</v>
      </c>
      <c r="O335" s="427">
        <f t="shared" ca="1" si="45"/>
        <v>44.023773584905662</v>
      </c>
      <c r="P335" s="427">
        <f t="shared" ca="1" si="46"/>
        <v>54.420058309037898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106000</v>
      </c>
      <c r="M336" s="427">
        <f ca="1">M337+M338</f>
        <v>85750</v>
      </c>
      <c r="N336" s="427">
        <f ca="1">N337+N338</f>
        <v>46665.2</v>
      </c>
      <c r="O336" s="427">
        <f t="shared" ca="1" si="45"/>
        <v>44.023773584905662</v>
      </c>
      <c r="P336" s="427">
        <f t="shared" ca="1" si="46"/>
        <v>54.420058309037898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IFERROR(__xludf.DUMMYFUNCTION("IMPORTRANGE(""https://docs.google.com/spreadsheets/d/1-uDff_7J0KD5mKrp0Vvzr7lt3OU09vwQwhkpOPPYv2Y/edit?usp=sharing"",""งบพรบ!ES56"")"),106000)</f>
        <v>106000</v>
      </c>
      <c r="M338" s="427">
        <f ca="1">IFERROR(__xludf.DUMMYFUNCTION("IMPORTRANGE(""https://docs.google.com/spreadsheets/d/1-uDff_7J0KD5mKrp0Vvzr7lt3OU09vwQwhkpOPPYv2Y/edit?usp=sharing"",""งบพรบ!EX56"")"),85750)</f>
        <v>85750</v>
      </c>
      <c r="N338" s="427">
        <f ca="1">IFERROR(__xludf.DUMMYFUNCTION("IMPORTRANGE(""https://docs.google.com/spreadsheets/d/1-uDff_7J0KD5mKrp0Vvzr7lt3OU09vwQwhkpOPPYv2Y/edit?usp=sharing"",""งบพรบ!EZ56"")"),46665.2)</f>
        <v>46665.2</v>
      </c>
      <c r="O338" s="427">
        <f t="shared" ca="1" si="45"/>
        <v>44.023773584905662</v>
      </c>
      <c r="P338" s="427">
        <f t="shared" ca="1" si="46"/>
        <v>54.420058309037898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IFERROR(__xludf.DUMMYFUNCTION("IMPORTRANGE(""https://docs.google.com/spreadsheets/d/1-uDff_7J0KD5mKrp0Vvzr7lt3OU09vwQwhkpOPPYv2Y/edit?usp=sharing"",""งบพรบ!EV56"")"),0)</f>
        <v>0</v>
      </c>
      <c r="M341" s="427">
        <f ca="1">IFERROR(__xludf.DUMMYFUNCTION("IMPORTRANGE(""https://docs.google.com/spreadsheets/d/1-uDff_7J0KD5mKrp0Vvzr7lt3OU09vwQwhkpOPPYv2Y/edit?usp=sharing"",""งบพรบ!EY56"")"),0)</f>
        <v>0</v>
      </c>
      <c r="N341" s="427">
        <f ca="1">IFERROR(__xludf.DUMMYFUNCTION("IMPORTRANGE(""https://docs.google.com/spreadsheets/d/1-uDff_7J0KD5mKrp0Vvzr7lt3OU09vwQwhkpOPPYv2Y/edit?usp=sharing"",""งบพรบ!FA56"")"),0)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332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IFERROR(__xludf.DUMMYFUNCTION("IMPORTRANGE(""https://docs.google.com/spreadsheets/d/1eHaY18a8A9IcSdp1K8H6x8fbOy06t2VsZHhMHf-1x7Y/edit?usp=sharing"",""แผน!EK56"")"),940)</f>
        <v>940</v>
      </c>
      <c r="J344" s="426">
        <f ca="1">IFERROR(__xludf.DUMMYFUNCTION("IMPORTRANGE(""https://docs.google.com/spreadsheets/d/1awYsYK3VOup2i3Pq_Yjnu8DRu_mYwSBnCR2QPthd0rU/edit?usp=sharing"",""ศูนย์ยกเว้นโฉนด!D56"")"),323)</f>
        <v>323</v>
      </c>
      <c r="K344" s="427">
        <f ca="1">IF(I344&gt;0,J344*100/I344,0)</f>
        <v>34.361702127659576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IFERROR(__xludf.DUMMYFUNCTION("IMPORTRANGE(""https://docs.google.com/spreadsheets/d/1eHaY18a8A9IcSdp1K8H6x8fbOy06t2VsZHhMHf-1x7Y/edit?usp=sharing"",""แผน!EL56"")"),3)</f>
        <v>3</v>
      </c>
      <c r="J346" s="426">
        <f ca="1">IFERROR(__xludf.DUMMYFUNCTION("IMPORTRANGE(""https://docs.google.com/spreadsheets/d/1awYsYK3VOup2i3Pq_Yjnu8DRu_mYwSBnCR2QPthd0rU/edit?usp=sharing"",""ศูนย์รวม!E56"")"),4)</f>
        <v>4</v>
      </c>
      <c r="K346" s="427">
        <f ca="1">IF(I346&gt;0,J346*100/I346,0)</f>
        <v>133.33333333333334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3407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IFERROR(__xludf.DUMMYFUNCTION("IMPORTRANGE(""https://docs.google.com/spreadsheets/d/1awYsYK3VOup2i3Pq_Yjnu8DRu_mYwSBnCR2QPthd0rU/edit?usp=sharing"",""โฉนดM3!G56"")"),733)</f>
        <v>733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IFERROR(__xludf.DUMMYFUNCTION("IMPORTRANGE(""https://docs.google.com/spreadsheets/d/1awYsYK3VOup2i3Pq_Yjnu8DRu_mYwSBnCR2QPthd0rU/edit?usp=sharing"",""โฉนดM3!H56"")"),2674)</f>
        <v>2674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601325</v>
      </c>
      <c r="M356" s="715">
        <f ca="1">M357+M358</f>
        <v>477725</v>
      </c>
      <c r="N356" s="715">
        <f ca="1">N357+N358</f>
        <v>104421.55</v>
      </c>
      <c r="O356" s="715">
        <f t="shared" ref="O356:O364" ca="1" si="48">IF(L356&gt;0,N356*100/L356,0)</f>
        <v>17.365243420779112</v>
      </c>
      <c r="P356" s="715">
        <f t="shared" ref="P356:P364" ca="1" si="49">IF(M356&gt;0,N356*100/M356,0)</f>
        <v>21.858087812025747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601325</v>
      </c>
      <c r="M358" s="427">
        <f t="shared" ca="1" si="50"/>
        <v>477725</v>
      </c>
      <c r="N358" s="427">
        <f t="shared" ca="1" si="50"/>
        <v>104421.55</v>
      </c>
      <c r="O358" s="427">
        <f t="shared" ca="1" si="48"/>
        <v>17.365243420779112</v>
      </c>
      <c r="P358" s="427">
        <f t="shared" ca="1" si="49"/>
        <v>21.858087812025747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601325</v>
      </c>
      <c r="M359" s="427">
        <f ca="1">M360+M361</f>
        <v>477725</v>
      </c>
      <c r="N359" s="427">
        <f ca="1">N360+N361</f>
        <v>104421.55</v>
      </c>
      <c r="O359" s="427">
        <f t="shared" ca="1" si="48"/>
        <v>17.365243420779112</v>
      </c>
      <c r="P359" s="427">
        <f t="shared" ca="1" si="49"/>
        <v>21.858087812025747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IFERROR(__xludf.DUMMYFUNCTION("IMPORTRANGE(""https://docs.google.com/spreadsheets/d/1-uDff_7J0KD5mKrp0Vvzr7lt3OU09vwQwhkpOPPYv2Y/edit?usp=sharing"",""งบพรบ!FC56"")"),601325)</f>
        <v>601325</v>
      </c>
      <c r="M361" s="427">
        <f ca="1">IFERROR(__xludf.DUMMYFUNCTION("IMPORTRANGE(""https://docs.google.com/spreadsheets/d/1-uDff_7J0KD5mKrp0Vvzr7lt3OU09vwQwhkpOPPYv2Y/edit?usp=sharing"",""งบพรบ!FH56"")"),477725)</f>
        <v>477725</v>
      </c>
      <c r="N361" s="427">
        <f ca="1">IFERROR(__xludf.DUMMYFUNCTION("IMPORTRANGE(""https://docs.google.com/spreadsheets/d/1-uDff_7J0KD5mKrp0Vvzr7lt3OU09vwQwhkpOPPYv2Y/edit?usp=sharing"",""งบพรบ!FJ56"")"),104421.55)</f>
        <v>104421.55</v>
      </c>
      <c r="O361" s="427">
        <f t="shared" ca="1" si="48"/>
        <v>17.365243420779112</v>
      </c>
      <c r="P361" s="427">
        <f t="shared" ca="1" si="49"/>
        <v>21.858087812025747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IFERROR(__xludf.DUMMYFUNCTION("IMPORTRANGE(""https://docs.google.com/spreadsheets/d/1-uDff_7J0KD5mKrp0Vvzr7lt3OU09vwQwhkpOPPYv2Y/edit?usp=sharing"",""งบพรบ!FF56"")"),0)</f>
        <v>0</v>
      </c>
      <c r="M364" s="427">
        <f ca="1">IFERROR(__xludf.DUMMYFUNCTION("IMPORTRANGE(""https://docs.google.com/spreadsheets/d/1-uDff_7J0KD5mKrp0Vvzr7lt3OU09vwQwhkpOPPYv2Y/edit?usp=sharing"",""งบพรบ!FI56"")"),0)</f>
        <v>0</v>
      </c>
      <c r="N364" s="427">
        <f ca="1">IFERROR(__xludf.DUMMYFUNCTION("IMPORTRANGE(""https://docs.google.com/spreadsheets/d/1-uDff_7J0KD5mKrp0Vvzr7lt3OU09vwQwhkpOPPYv2Y/edit?usp=sharing"",""งบพรบ!FK56"")"),0)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133</v>
      </c>
      <c r="J365" s="440">
        <f ca="1">J371</f>
        <v>151</v>
      </c>
      <c r="K365" s="441">
        <f ca="1">IF(I365&gt;0,J365*100/I365,0)</f>
        <v>113.53383458646617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IFERROR(__xludf.DUMMYFUNCTION("IMPORTRANGE(""https://docs.google.com/spreadsheets/d/1tdoBKaGub7dwA3U6UFTqxio9LNnvDCQjHKmttSEBsFQ/edit?usp=sharing"",""จัดที่ดิน!AB56"")"),74)</f>
        <v>74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IFERROR(__xludf.DUMMYFUNCTION("IMPORTRANGE(""https://docs.google.com/spreadsheets/d/1eHaY18a8A9IcSdp1K8H6x8fbOy06t2VsZHhMHf-1x7Y/edit?usp=sharing"",""แผน!EW56"")"),1475)</f>
        <v>1475</v>
      </c>
      <c r="J368" s="704">
        <f ca="1">IFERROR(__xludf.DUMMYFUNCTION("IMPORTRANGE(""https://docs.google.com/spreadsheets/d/1tdoBKaGub7dwA3U6UFTqxio9LNnvDCQjHKmttSEBsFQ/edit?usp=sharing"",""จัดที่ดิน!AC56"")"),982.689999999999)</f>
        <v>982.68999999999903</v>
      </c>
      <c r="K368" s="427">
        <f t="shared" ca="1" si="51"/>
        <v>66.623050847457563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IFERROR(__xludf.DUMMYFUNCTION("IMPORTRANGE(""https://docs.google.com/spreadsheets/d/1eHaY18a8A9IcSdp1K8H6x8fbOy06t2VsZHhMHf-1x7Y/edit?usp=sharing"",""แผน!EX56"")"),205)</f>
        <v>205</v>
      </c>
      <c r="J369" s="426">
        <f ca="1">IFERROR(__xludf.DUMMYFUNCTION("IMPORTRANGE(""https://docs.google.com/spreadsheets/d/1tdoBKaGub7dwA3U6UFTqxio9LNnvDCQjHKmttSEBsFQ/edit?usp=sharing"",""จัดที่ดิน!AD56"")"),153)</f>
        <v>153</v>
      </c>
      <c r="K369" s="427">
        <f t="shared" ca="1" si="51"/>
        <v>74.634146341463421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IFERROR(__xludf.DUMMYFUNCTION("IMPORTRANGE(""https://docs.google.com/spreadsheets/d/1tdoBKaGub7dwA3U6UFTqxio9LNnvDCQjHKmttSEBsFQ/edit?usp=sharing"",""จัดที่ดิน!AE56"")"),2562.93)</f>
        <v>2562.9299999999998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IFERROR(__xludf.DUMMYFUNCTION("IMPORTRANGE(""https://docs.google.com/spreadsheets/d/1eHaY18a8A9IcSdp1K8H6x8fbOy06t2VsZHhMHf-1x7Y/edit?usp=sharing"",""แผน!EY56"")"),133)</f>
        <v>133</v>
      </c>
      <c r="J371" s="426">
        <f ca="1">IFERROR(__xludf.DUMMYFUNCTION("IMPORTRANGE(""https://docs.google.com/spreadsheets/d/1tdoBKaGub7dwA3U6UFTqxio9LNnvDCQjHKmttSEBsFQ/edit?usp=sharing"",""จัดที่ดิน!AF56"")"),151)</f>
        <v>151</v>
      </c>
      <c r="K371" s="427">
        <f t="shared" ca="1" si="51"/>
        <v>113.53383458646617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IFERROR(__xludf.DUMMYFUNCTION("IMPORTRANGE(""https://docs.google.com/spreadsheets/d/1tdoBKaGub7dwA3U6UFTqxio9LNnvDCQjHKmttSEBsFQ/edit?usp=sharing"",""จัดที่ดิน!AG56"")"),2549.29999999999)</f>
        <v>2549.2999999999902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IFERROR(__xludf.DUMMYFUNCTION("IMPORTRANGE(""https://docs.google.com/spreadsheets/d/1-uDff_7J0KD5mKrp0Vvzr7lt3OU09vwQwhkpOPPYv2Y/edit?usp=sharing"",""งบพรบ!FM56"")"),0)</f>
        <v>0</v>
      </c>
      <c r="M382" s="502">
        <f ca="1">IFERROR(__xludf.DUMMYFUNCTION("IMPORTRANGE(""https://docs.google.com/spreadsheets/d/1-uDff_7J0KD5mKrp0Vvzr7lt3OU09vwQwhkpOPPYv2Y/edit?usp=sharing"",""งบพรบ!FR56"")"),0)</f>
        <v>0</v>
      </c>
      <c r="N382" s="502">
        <f ca="1">IFERROR(__xludf.DUMMYFUNCTION("IMPORTRANGE(""https://docs.google.com/spreadsheets/d/1-uDff_7J0KD5mKrp0Vvzr7lt3OU09vwQwhkpOPPYv2Y/edit?usp=sharing"",""งบพรบ!FT56"")"),0)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IFERROR(__xludf.DUMMYFUNCTION("IMPORTRANGE(""https://docs.google.com/spreadsheets/d/1-uDff_7J0KD5mKrp0Vvzr7lt3OU09vwQwhkpOPPYv2Y/edit?usp=sharing"",""งบพรบ!FP56"")"),0)</f>
        <v>0</v>
      </c>
      <c r="M385" s="502">
        <f ca="1">IFERROR(__xludf.DUMMYFUNCTION("IMPORTRANGE(""https://docs.google.com/spreadsheets/d/1-uDff_7J0KD5mKrp0Vvzr7lt3OU09vwQwhkpOPPYv2Y/edit?usp=sharing"",""งบพรบ!FS56"")"),0)</f>
        <v>0</v>
      </c>
      <c r="N385" s="502">
        <f ca="1">IFERROR(__xludf.DUMMYFUNCTION("IMPORTRANGE(""https://docs.google.com/spreadsheets/d/1-uDff_7J0KD5mKrp0Vvzr7lt3OU09vwQwhkpOPPYv2Y/edit?usp=sharing"",""งบพรบ!FU56"")"),0)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D929-488E-45BA-B0A2-A8868F3516B0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256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1358132</v>
      </c>
      <c r="M18" s="843">
        <f ca="1">M19+M20</f>
        <v>1102275</v>
      </c>
      <c r="N18" s="843">
        <f ca="1">N19+N20</f>
        <v>543969.63</v>
      </c>
      <c r="O18" s="843">
        <f t="shared" ref="O18:O26" ca="1" si="0">IF(L18&gt;0,N18*100/L18,0)</f>
        <v>40.052780583919677</v>
      </c>
      <c r="P18" s="843">
        <f t="shared" ref="P18:P26" ca="1" si="1">IF(M18&gt;0,N18*100/M18,0)</f>
        <v>49.34972035109206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1358132</v>
      </c>
      <c r="M20" s="947">
        <f t="shared" ca="1" si="2"/>
        <v>1102275</v>
      </c>
      <c r="N20" s="947">
        <f t="shared" ca="1" si="2"/>
        <v>543969.63</v>
      </c>
      <c r="O20" s="947">
        <f t="shared" ca="1" si="0"/>
        <v>40.052780583919677</v>
      </c>
      <c r="P20" s="947">
        <f t="shared" ca="1" si="1"/>
        <v>49.34972035109206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1358132</v>
      </c>
      <c r="M21" s="427">
        <f ca="1">M22+M23</f>
        <v>1102275</v>
      </c>
      <c r="N21" s="427">
        <f ca="1">N22+N23</f>
        <v>543969.63</v>
      </c>
      <c r="O21" s="427">
        <f t="shared" ca="1" si="0"/>
        <v>40.052780583919677</v>
      </c>
      <c r="P21" s="427">
        <f t="shared" ca="1" si="1"/>
        <v>49.34972035109206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1358132</v>
      </c>
      <c r="M23" s="427">
        <f t="shared" ca="1" si="3"/>
        <v>1102275</v>
      </c>
      <c r="N23" s="427">
        <f t="shared" ca="1" si="3"/>
        <v>543969.63</v>
      </c>
      <c r="O23" s="427">
        <f t="shared" ca="1" si="0"/>
        <v>40.052780583919677</v>
      </c>
      <c r="P23" s="427">
        <f t="shared" ca="1" si="1"/>
        <v>49.34972035109206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1358132</v>
      </c>
      <c r="M40" s="940">
        <f ca="1">M44+M59+M72+M94+M125+M139+M157+M173+M186+M266+M282+M303+M320+M333+M356</f>
        <v>1102275</v>
      </c>
      <c r="N40" s="940">
        <f ca="1">N44+N59+N72+N94+N125+N139+N157+N173+N186+N266+N282+N303+N320+N333+N356</f>
        <v>543969.63</v>
      </c>
      <c r="O40" s="940">
        <f ca="1">IF(L40&gt;0,N40*100/L40,0)</f>
        <v>40.052780583919677</v>
      </c>
      <c r="P40" s="940">
        <f ca="1">IF(M40&gt;0,N40*100/M40,0)</f>
        <v>49.34972035109206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209157</v>
      </c>
      <c r="M44" s="925">
        <f ca="1">M45+M46</f>
        <v>213600</v>
      </c>
      <c r="N44" s="925">
        <f ca="1">N45+N46</f>
        <v>108179</v>
      </c>
      <c r="O44" s="925">
        <f t="shared" ref="O44:O52" ca="1" si="5">IF(L44&gt;0,N44*100/L44,0)</f>
        <v>51.721434137992034</v>
      </c>
      <c r="P44" s="925">
        <f t="shared" ref="P44:P52" ca="1" si="6">IF(M44&gt;0,N44*100/M44,0)</f>
        <v>50.645599250936328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209157</v>
      </c>
      <c r="M46" s="917">
        <f t="shared" ca="1" si="7"/>
        <v>213600</v>
      </c>
      <c r="N46" s="917">
        <f t="shared" ca="1" si="7"/>
        <v>108179</v>
      </c>
      <c r="O46" s="917">
        <f t="shared" ca="1" si="5"/>
        <v>51.721434137992034</v>
      </c>
      <c r="P46" s="917">
        <f t="shared" ca="1" si="6"/>
        <v>50.645599250936328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209157</v>
      </c>
      <c r="M47" s="427">
        <f ca="1">M48+M49</f>
        <v>213600</v>
      </c>
      <c r="N47" s="427">
        <f ca="1">N48+N49</f>
        <v>108179</v>
      </c>
      <c r="O47" s="427">
        <f t="shared" ca="1" si="5"/>
        <v>51.721434137992034</v>
      </c>
      <c r="P47" s="427">
        <f t="shared" ca="1" si="6"/>
        <v>50.645599250936328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IFERROR(__xludf.DUMMYFUNCTION("IMPORTRANGE(""https://docs.google.com/spreadsheets/d/1-uDff_7J0KD5mKrp0Vvzr7lt3OU09vwQwhkpOPPYv2Y/edit?usp=sharing"",""งบพรบ!P57"")"),209157)</f>
        <v>209157</v>
      </c>
      <c r="M49" s="427">
        <f ca="1">IFERROR(__xludf.DUMMYFUNCTION("IMPORTRANGE(""https://docs.google.com/spreadsheets/d/1-uDff_7J0KD5mKrp0Vvzr7lt3OU09vwQwhkpOPPYv2Y/edit?usp=sharing"",""งบพรบ!V57"")"),213600)</f>
        <v>213600</v>
      </c>
      <c r="N49" s="427">
        <f ca="1">IFERROR(__xludf.DUMMYFUNCTION("IMPORTRANGE(""https://docs.google.com/spreadsheets/d/1-uDff_7J0KD5mKrp0Vvzr7lt3OU09vwQwhkpOPPYv2Y/edit?usp=sharing"",""งบพรบ!Y57"")"),108179)</f>
        <v>108179</v>
      </c>
      <c r="O49" s="427">
        <f t="shared" ca="1" si="5"/>
        <v>51.721434137992034</v>
      </c>
      <c r="P49" s="427">
        <f t="shared" ca="1" si="6"/>
        <v>50.645599250936328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IFERROR(__xludf.DUMMYFUNCTION("IMPORTRANGE(""https://docs.google.com/spreadsheets/d/1-uDff_7J0KD5mKrp0Vvzr7lt3OU09vwQwhkpOPPYv2Y/edit?usp=sharing"",""งบพรบ!S57"")"),0)</f>
        <v>0</v>
      </c>
      <c r="M52" s="427">
        <f ca="1">IFERROR(__xludf.DUMMYFUNCTION("IMPORTRANGE(""https://docs.google.com/spreadsheets/d/1-uDff_7J0KD5mKrp0Vvzr7lt3OU09vwQwhkpOPPYv2Y/edit?usp=sharing"",""งบพรบ!W57"")"),0)</f>
        <v>0</v>
      </c>
      <c r="N52" s="427">
        <f ca="1">IFERROR(__xludf.DUMMYFUNCTION("IMPORTRANGE(""https://docs.google.com/spreadsheets/d/1-uDff_7J0KD5mKrp0Vvzr7lt3OU09vwQwhkpOPPYv2Y/edit?usp=sharing"",""งบพรบ!Z57"")"),0)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423000</v>
      </c>
      <c r="M59" s="899">
        <f ca="1">M60+M61</f>
        <v>319150</v>
      </c>
      <c r="N59" s="899">
        <f ca="1">N60+N61</f>
        <v>237340.63</v>
      </c>
      <c r="O59" s="899">
        <f t="shared" ref="O59:O67" ca="1" si="8">IF(L59&gt;0,N59*100/L59,0)</f>
        <v>56.108895981087471</v>
      </c>
      <c r="P59" s="899">
        <f t="shared" ref="P59:P67" ca="1" si="9">IF(M59&gt;0,N59*100/M59,0)</f>
        <v>74.366482845057178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423000</v>
      </c>
      <c r="M61" s="891">
        <f t="shared" ca="1" si="10"/>
        <v>319150</v>
      </c>
      <c r="N61" s="891">
        <f t="shared" ca="1" si="10"/>
        <v>237340.63</v>
      </c>
      <c r="O61" s="891">
        <f t="shared" ca="1" si="8"/>
        <v>56.108895981087471</v>
      </c>
      <c r="P61" s="891">
        <f t="shared" ca="1" si="9"/>
        <v>74.366482845057178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423000</v>
      </c>
      <c r="M62" s="427">
        <f ca="1">M63+M64</f>
        <v>319150</v>
      </c>
      <c r="N62" s="427">
        <f ca="1">N63+N64</f>
        <v>237340.63</v>
      </c>
      <c r="O62" s="427">
        <f t="shared" ca="1" si="8"/>
        <v>56.108895981087471</v>
      </c>
      <c r="P62" s="427">
        <f t="shared" ca="1" si="9"/>
        <v>74.366482845057178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IFERROR(__xludf.DUMMYFUNCTION("IMPORTRANGE(""https://docs.google.com/spreadsheets/d/1-uDff_7J0KD5mKrp0Vvzr7lt3OU09vwQwhkpOPPYv2Y/edit?usp=sharing"",""งบพรบ!AC57"")"),423000)</f>
        <v>423000</v>
      </c>
      <c r="M64" s="427">
        <f ca="1">IFERROR(__xludf.DUMMYFUNCTION("IMPORTRANGE(""https://docs.google.com/spreadsheets/d/1-uDff_7J0KD5mKrp0Vvzr7lt3OU09vwQwhkpOPPYv2Y/edit?usp=sharing"",""งบพรบ!AH57"")"),319150)</f>
        <v>319150</v>
      </c>
      <c r="N64" s="427">
        <f ca="1">IFERROR(__xludf.DUMMYFUNCTION("IMPORTRANGE(""https://docs.google.com/spreadsheets/d/1-uDff_7J0KD5mKrp0Vvzr7lt3OU09vwQwhkpOPPYv2Y/edit?usp=sharing"",""งบพรบ!AJ57"")"),237340.63)</f>
        <v>237340.63</v>
      </c>
      <c r="O64" s="427">
        <f t="shared" ca="1" si="8"/>
        <v>56.108895981087471</v>
      </c>
      <c r="P64" s="427">
        <f t="shared" ca="1" si="9"/>
        <v>74.366482845057178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IFERROR(__xludf.DUMMYFUNCTION("IMPORTRANGE(""https://docs.google.com/spreadsheets/d/1-uDff_7J0KD5mKrp0Vvzr7lt3OU09vwQwhkpOPPYv2Y/edit?usp=sharing"",""งบพรบ!AF57"")"),0)</f>
        <v>0</v>
      </c>
      <c r="M67" s="624">
        <f ca="1">IFERROR(__xludf.DUMMYFUNCTION("IMPORTRANGE(""https://docs.google.com/spreadsheets/d/1-uDff_7J0KD5mKrp0Vvzr7lt3OU09vwQwhkpOPPYv2Y/edit?usp=sharing"",""งบพรบ!AI57"")"),0)</f>
        <v>0</v>
      </c>
      <c r="N67" s="624">
        <f ca="1">IFERROR(__xludf.DUMMYFUNCTION("IMPORTRANGE(""https://docs.google.com/spreadsheets/d/1-uDff_7J0KD5mKrp0Vvzr7lt3OU09vwQwhkpOPPYv2Y/edit?usp=sharing"",""งบพรบ!AK57"")"),0)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IFERROR(__xludf.DUMMYFUNCTION("IMPORTRANGE(""https://docs.google.com/spreadsheets/d/1-uDff_7J0KD5mKrp0Vvzr7lt3OU09vwQwhkpOPPYv2Y/edit?usp=sharing"",""งบพรบ!AM57"")"),0)</f>
        <v>0</v>
      </c>
      <c r="M77" s="427">
        <f ca="1">IFERROR(__xludf.DUMMYFUNCTION("IMPORTRANGE(""https://docs.google.com/spreadsheets/d/1-uDff_7J0KD5mKrp0Vvzr7lt3OU09vwQwhkpOPPYv2Y/edit?usp=sharing"",""งบพรบ!AR57"")"),0)</f>
        <v>0</v>
      </c>
      <c r="N77" s="427">
        <f ca="1">IFERROR(__xludf.DUMMYFUNCTION("IMPORTRANGE(""https://docs.google.com/spreadsheets/d/1-uDff_7J0KD5mKrp0Vvzr7lt3OU09vwQwhkpOPPYv2Y/edit?usp=sharing"",""งบพรบ!AT57"")"),0)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IFERROR(__xludf.DUMMYFUNCTION("IMPORTRANGE(""https://docs.google.com/spreadsheets/d/1-uDff_7J0KD5mKrp0Vvzr7lt3OU09vwQwhkpOPPYv2Y/edit?usp=sharing"",""งบพรบ!AP57"")"),0)</f>
        <v>0</v>
      </c>
      <c r="M80" s="427">
        <f ca="1">IFERROR(__xludf.DUMMYFUNCTION("IMPORTRANGE(""https://docs.google.com/spreadsheets/d/1-uDff_7J0KD5mKrp0Vvzr7lt3OU09vwQwhkpOPPYv2Y/edit?usp=sharing"",""งบพรบ!AS57"")"),0)</f>
        <v>0</v>
      </c>
      <c r="N80" s="427">
        <f ca="1">IFERROR(__xludf.DUMMYFUNCTION("IMPORTRANGE(""https://docs.google.com/spreadsheets/d/1-uDff_7J0KD5mKrp0Vvzr7lt3OU09vwQwhkpOPPYv2Y/edit?usp=sharing"",""งบพรบ!AU57"")"),0)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IFERROR(__xludf.DUMMYFUNCTION("IMPORTRANGE(""https://docs.google.com/spreadsheets/d/1eHaY18a8A9IcSdp1K8H6x8fbOy06t2VsZHhMHf-1x7Y/edit?usp=sharing"",""แผน!H57"")"),0)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IFERROR(__xludf.DUMMYFUNCTION("IMPORTRANGE(""https://docs.google.com/spreadsheets/d/1eHaY18a8A9IcSdp1K8H6x8fbOy06t2VsZHhMHf-1x7Y/edit?usp=sharing"",""แผน!I57"")"),0)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IFERROR(__xludf.DUMMYFUNCTION("IMPORTRANGE(""https://docs.google.com/spreadsheets/d/1eHaY18a8A9IcSdp1K8H6x8fbOy06t2VsZHhMHf-1x7Y/edit?usp=sharing"",""แผน!F57"")"),0)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IFERROR(__xludf.DUMMYFUNCTION("IMPORTRANGE(""https://docs.google.com/spreadsheets/d/1eHaY18a8A9IcSdp1K8H6x8fbOy06t2VsZHhMHf-1x7Y/edit?usp=sharing"",""แผน!G57"")"),0)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IFERROR(__xludf.DUMMYFUNCTION("IMPORTRANGE(""https://docs.google.com/spreadsheets/d/1eHaY18a8A9IcSdp1K8H6x8fbOy06t2VsZHhMHf-1x7Y/edit?usp=sharing"",""แผน!D57"")"),0)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IFERROR(__xludf.DUMMYFUNCTION("IMPORTRANGE(""https://docs.google.com/spreadsheets/d/1eHaY18a8A9IcSdp1K8H6x8fbOy06t2VsZHhMHf-1x7Y/edit?usp=sharing"",""แผน!E57"")"),0)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IFERROR(__xludf.DUMMYFUNCTION("IMPORTRANGE(""https://docs.google.com/spreadsheets/d/1eHaY18a8A9IcSdp1K8H6x8fbOy06t2VsZHhMHf-1x7Y/edit?usp=sharing"",""แผน!J57"")"),0)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IFERROR(__xludf.DUMMYFUNCTION("IMPORTRANGE(""https://docs.google.com/spreadsheets/d/1-uDff_7J0KD5mKrp0Vvzr7lt3OU09vwQwhkpOPPYv2Y/edit?usp=sharing"",""งบพรบ!AW57"")"),0)</f>
        <v>0</v>
      </c>
      <c r="M99" s="427">
        <f ca="1">IFERROR(__xludf.DUMMYFUNCTION("IMPORTRANGE(""https://docs.google.com/spreadsheets/d/1-uDff_7J0KD5mKrp0Vvzr7lt3OU09vwQwhkpOPPYv2Y/edit?usp=sharing"",""งบพรบ!BB57"")"),0)</f>
        <v>0</v>
      </c>
      <c r="N99" s="427">
        <f ca="1">IFERROR(__xludf.DUMMYFUNCTION("IMPORTRANGE(""https://docs.google.com/spreadsheets/d/1-uDff_7J0KD5mKrp0Vvzr7lt3OU09vwQwhkpOPPYv2Y/edit?usp=sharing"",""งบพรบ!BD57"")"),0)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IFERROR(__xludf.DUMMYFUNCTION("IMPORTRANGE(""https://docs.google.com/spreadsheets/d/1-uDff_7J0KD5mKrp0Vvzr7lt3OU09vwQwhkpOPPYv2Y/edit?usp=sharing"",""งบพรบ!AZ57"")"),0)</f>
        <v>0</v>
      </c>
      <c r="M102" s="427">
        <f ca="1">IFERROR(__xludf.DUMMYFUNCTION("IMPORTRANGE(""https://docs.google.com/spreadsheets/d/1-uDff_7J0KD5mKrp0Vvzr7lt3OU09vwQwhkpOPPYv2Y/edit?usp=sharing"",""งบพรบ!BC57"")"),0)</f>
        <v>0</v>
      </c>
      <c r="N102" s="427">
        <f ca="1">IFERROR(__xludf.DUMMYFUNCTION("IMPORTRANGE(""https://docs.google.com/spreadsheets/d/1-uDff_7J0KD5mKrp0Vvzr7lt3OU09vwQwhkpOPPYv2Y/edit?usp=sharing"",""งบพรบ!BE57"")"),0)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IFERROR(__xludf.DUMMYFUNCTION("IMPORTRANGE(""https://docs.google.com/spreadsheets/d/1eHaY18a8A9IcSdp1K8H6x8fbOy06t2VsZHhMHf-1x7Y/edit?usp=sharing"",""แผน!N57"")"),0)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IFERROR(__xludf.DUMMYFUNCTION("IMPORTRANGE(""https://docs.google.com/spreadsheets/d/1eHaY18a8A9IcSdp1K8H6x8fbOy06t2VsZHhMHf-1x7Y/edit?usp=sharing"",""แผน!O57"")"),0)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IFERROR(__xludf.DUMMYFUNCTION("IMPORTRANGE(""https://docs.google.com/spreadsheets/d/1eHaY18a8A9IcSdp1K8H6x8fbOy06t2VsZHhMHf-1x7Y/edit?usp=sharing"",""แผน!R57"")"),0)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IFERROR(__xludf.DUMMYFUNCTION("IMPORTRANGE(""https://docs.google.com/spreadsheets/d/1-uDff_7J0KD5mKrp0Vvzr7lt3OU09vwQwhkpOPPYv2Y/edit?usp=sharing"",""งบพรบ!BG57"")"),0)</f>
        <v>0</v>
      </c>
      <c r="M130" s="864">
        <f ca="1">IFERROR(__xludf.DUMMYFUNCTION("IMPORTRANGE(""https://docs.google.com/spreadsheets/d/1-uDff_7J0KD5mKrp0Vvzr7lt3OU09vwQwhkpOPPYv2Y/edit?usp=sharing"",""งบพรบ!BL57"")"),0)</f>
        <v>0</v>
      </c>
      <c r="N130" s="864">
        <f ca="1">IFERROR(__xludf.DUMMYFUNCTION("IMPORTRANGE(""https://docs.google.com/spreadsheets/d/1-uDff_7J0KD5mKrp0Vvzr7lt3OU09vwQwhkpOPPYv2Y/edit?usp=sharing"",""งบพรบ!BN57"")"),0)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IFERROR(__xludf.DUMMYFUNCTION("IMPORTRANGE(""https://docs.google.com/spreadsheets/d/1-uDff_7J0KD5mKrp0Vvzr7lt3OU09vwQwhkpOPPYv2Y/edit?usp=sharing"",""งบพรบ!BJ57"")"),0)</f>
        <v>0</v>
      </c>
      <c r="M133" s="864">
        <f ca="1">IFERROR(__xludf.DUMMYFUNCTION("IMPORTRANGE(""https://docs.google.com/spreadsheets/d/1-uDff_7J0KD5mKrp0Vvzr7lt3OU09vwQwhkpOPPYv2Y/edit?usp=sharing"",""งบพรบ!BM57"")"),0)</f>
        <v>0</v>
      </c>
      <c r="N133" s="864">
        <f ca="1">IFERROR(__xludf.DUMMYFUNCTION("IMPORTRANGE(""https://docs.google.com/spreadsheets/d/1-uDff_7J0KD5mKrp0Vvzr7lt3OU09vwQwhkpOPPYv2Y/edit?usp=sharing"",""งบพรบ!BO57"")"),0)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IFERROR(__xludf.DUMMYFUNCTION("IMPORTRANGE(""https://docs.google.com/spreadsheets/d/1-uDff_7J0KD5mKrp0Vvzr7lt3OU09vwQwhkpOPPYv2Y/edit?usp=sharing"",""งบพรบ!BQ57"")"),0)</f>
        <v>0</v>
      </c>
      <c r="M144" s="427">
        <f ca="1">IFERROR(__xludf.DUMMYFUNCTION("IMPORTRANGE(""https://docs.google.com/spreadsheets/d/1-uDff_7J0KD5mKrp0Vvzr7lt3OU09vwQwhkpOPPYv2Y/edit?usp=sharing"",""งบพรบ!BV57"")"),0)</f>
        <v>0</v>
      </c>
      <c r="N144" s="427">
        <f ca="1">IFERROR(__xludf.DUMMYFUNCTION("IMPORTRANGE(""https://docs.google.com/spreadsheets/d/1-uDff_7J0KD5mKrp0Vvzr7lt3OU09vwQwhkpOPPYv2Y/edit?usp=sharing"",""งบพรบ!BX57"")"),0)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IFERROR(__xludf.DUMMYFUNCTION("IMPORTRANGE(""https://docs.google.com/spreadsheets/d/1-uDff_7J0KD5mKrp0Vvzr7lt3OU09vwQwhkpOPPYv2Y/edit?usp=sharing"",""งบพรบ!BT57"")"),0)</f>
        <v>0</v>
      </c>
      <c r="M147" s="427">
        <f ca="1">IFERROR(__xludf.DUMMYFUNCTION("IMPORTRANGE(""https://docs.google.com/spreadsheets/d/1-uDff_7J0KD5mKrp0Vvzr7lt3OU09vwQwhkpOPPYv2Y/edit?usp=sharing"",""งบพรบ!BW57"")"),0)</f>
        <v>0</v>
      </c>
      <c r="N147" s="427">
        <f ca="1">IFERROR(__xludf.DUMMYFUNCTION("IMPORTRANGE(""https://docs.google.com/spreadsheets/d/1-uDff_7J0KD5mKrp0Vvzr7lt3OU09vwQwhkpOPPYv2Y/edit?usp=sharing"",""งบพรบ!BY57"")"),0)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IFERROR(__xludf.DUMMYFUNCTION("IMPORTRANGE(""https://docs.google.com/spreadsheets/d/1eHaY18a8A9IcSdp1K8H6x8fbOy06t2VsZHhMHf-1x7Y/edit?usp=sharing"",""แผน!U57"")"),0)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IFERROR(__xludf.DUMMYFUNCTION("IMPORTRANGE(""https://docs.google.com/spreadsheets/d/1eHaY18a8A9IcSdp1K8H6x8fbOy06t2VsZHhMHf-1x7Y/edit?usp=sharing"",""แผน!V57"")"),0)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IFERROR(__xludf.DUMMYFUNCTION("IMPORTRANGE(""https://docs.google.com/spreadsheets/d/1eHaY18a8A9IcSdp1K8H6x8fbOy06t2VsZHhMHf-1x7Y/edit?usp=sharing"",""แผน!W57"")"),0)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IFERROR(__xludf.DUMMYFUNCTION("IMPORTRANGE(""https://docs.google.com/spreadsheets/d/1eHaY18a8A9IcSdp1K8H6x8fbOy06t2VsZHhMHf-1x7Y/edit?usp=sharing"",""แผน!X57"")"),0)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IFERROR(__xludf.DUMMYFUNCTION("IMPORTRANGE(""https://docs.google.com/spreadsheets/d/1eHaY18a8A9IcSdp1K8H6x8fbOy06t2VsZHhMHf-1x7Y/edit?usp=sharing"",""แผน!Y57"")"),0)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I167</f>
        <v>10</v>
      </c>
      <c r="J156" s="844">
        <f>J167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3000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3000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IFERROR(__xludf.DUMMYFUNCTION("IMPORTRANGE(""https://docs.google.com/spreadsheets/d/1-uDff_7J0KD5mKrp0Vvzr7lt3OU09vwQwhkpOPPYv2Y/edit?usp=sharing"",""งบพรบ!CA57"")"),3000)</f>
        <v>3000</v>
      </c>
      <c r="M162" s="427">
        <f ca="1">IFERROR(__xludf.DUMMYFUNCTION("IMPORTRANGE(""https://docs.google.com/spreadsheets/d/1-uDff_7J0KD5mKrp0Vvzr7lt3OU09vwQwhkpOPPYv2Y/edit?usp=sharing"",""งบพรบ!CF57"")"),0)</f>
        <v>0</v>
      </c>
      <c r="N162" s="427">
        <f ca="1">IFERROR(__xludf.DUMMYFUNCTION("IMPORTRANGE(""https://docs.google.com/spreadsheets/d/1-uDff_7J0KD5mKrp0Vvzr7lt3OU09vwQwhkpOPPYv2Y/edit?usp=sharing"",""งบพรบ!CH57"")"),0)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IFERROR(__xludf.DUMMYFUNCTION("IMPORTRANGE(""https://docs.google.com/spreadsheets/d/1-uDff_7J0KD5mKrp0Vvzr7lt3OU09vwQwhkpOPPYv2Y/edit?usp=sharing"",""งบพรบ!CD57"")"),0)</f>
        <v>0</v>
      </c>
      <c r="M165" s="427">
        <f ca="1">IFERROR(__xludf.DUMMYFUNCTION("IMPORTRANGE(""https://docs.google.com/spreadsheets/d/1-uDff_7J0KD5mKrp0Vvzr7lt3OU09vwQwhkpOPPYv2Y/edit?usp=sharing"",""งบพรบ!CG57"")"),0)</f>
        <v>0</v>
      </c>
      <c r="N165" s="427">
        <f ca="1">IFERROR(__xludf.DUMMYFUNCTION("IMPORTRANGE(""https://docs.google.com/spreadsheets/d/1-uDff_7J0KD5mKrp0Vvzr7lt3OU09vwQwhkpOPPYv2Y/edit?usp=sharing"",""งบพรบ!CI57"")"),0)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IFERROR(__xludf.DUMMYFUNCTION("IMPORTRANGE(""https://docs.google.com/spreadsheets/d/1eHaY18a8A9IcSdp1K8H6x8fbOy06t2VsZHhMHf-1x7Y/edit?usp=sharing"",""แผน!Z57"")"),10)</f>
        <v>10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I167</f>
        <v>10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I167</f>
        <v>10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IFERROR(__xludf.DUMMYFUNCTION("IMPORTRANGE(""https://docs.google.com/spreadsheets/d/1-uDff_7J0KD5mKrp0Vvzr7lt3OU09vwQwhkpOPPYv2Y/edit?usp=sharing"",""งบพรบ!CK57"")"),19590)</f>
        <v>19590</v>
      </c>
      <c r="M178" s="427">
        <f ca="1">IFERROR(__xludf.DUMMYFUNCTION("IMPORTRANGE(""https://docs.google.com/spreadsheets/d/1-uDff_7J0KD5mKrp0Vvzr7lt3OU09vwQwhkpOPPYv2Y/edit?usp=sharing"",""งบพรบ!CP57"")"),19590)</f>
        <v>19590</v>
      </c>
      <c r="N178" s="427">
        <f ca="1">IFERROR(__xludf.DUMMYFUNCTION("IMPORTRANGE(""https://docs.google.com/spreadsheets/d/1-uDff_7J0KD5mKrp0Vvzr7lt3OU09vwQwhkpOPPYv2Y/edit?usp=sharing"",""งบพรบ!CR57"")"),0)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IFERROR(__xludf.DUMMYFUNCTION("IMPORTRANGE(""https://docs.google.com/spreadsheets/d/1-uDff_7J0KD5mKrp0Vvzr7lt3OU09vwQwhkpOPPYv2Y/edit?usp=sharing"",""งบพรบ!CN57"")"),0)</f>
        <v>0</v>
      </c>
      <c r="M181" s="427">
        <f ca="1">IFERROR(__xludf.DUMMYFUNCTION("IMPORTRANGE(""https://docs.google.com/spreadsheets/d/1-uDff_7J0KD5mKrp0Vvzr7lt3OU09vwQwhkpOPPYv2Y/edit?usp=sharing"",""งบพรบ!CQ57"")"),0)</f>
        <v>0</v>
      </c>
      <c r="N181" s="427">
        <f ca="1">IFERROR(__xludf.DUMMYFUNCTION("IMPORTRANGE(""https://docs.google.com/spreadsheets/d/1-uDff_7J0KD5mKrp0Vvzr7lt3OU09vwQwhkpOPPYv2Y/edit?usp=sharing"",""งบพรบ!CS57"")"),0)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IFERROR(__xludf.DUMMYFUNCTION("IMPORTRANGE(""https://docs.google.com/spreadsheets/d/1eHaY18a8A9IcSdp1K8H6x8fbOy06t2VsZHhMHf-1x7Y/edit?usp=sharing"",""แผน!AA57"")"),7)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98200</v>
      </c>
      <c r="M186" s="715">
        <f ca="1">M187+M188</f>
        <v>67000</v>
      </c>
      <c r="N186" s="715">
        <f ca="1">N187+N188</f>
        <v>34020</v>
      </c>
      <c r="O186" s="715">
        <f t="shared" ref="O186:O194" ca="1" si="30">IF(L186&gt;0,N186*100/L186,0)</f>
        <v>34.64358452138493</v>
      </c>
      <c r="P186" s="715">
        <f t="shared" ref="P186:P194" ca="1" si="31">IF(M186&gt;0,N186*100/M186,0)</f>
        <v>50.776119402985074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98200</v>
      </c>
      <c r="M188" s="427">
        <f t="shared" ca="1" si="32"/>
        <v>67000</v>
      </c>
      <c r="N188" s="427">
        <f t="shared" ca="1" si="32"/>
        <v>34020</v>
      </c>
      <c r="O188" s="427">
        <f t="shared" ca="1" si="30"/>
        <v>34.64358452138493</v>
      </c>
      <c r="P188" s="427">
        <f t="shared" ca="1" si="31"/>
        <v>50.776119402985074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98200</v>
      </c>
      <c r="M189" s="427">
        <f ca="1">M190+M191</f>
        <v>67000</v>
      </c>
      <c r="N189" s="427">
        <f ca="1">N190+N191</f>
        <v>34020</v>
      </c>
      <c r="O189" s="427">
        <f t="shared" ca="1" si="30"/>
        <v>34.64358452138493</v>
      </c>
      <c r="P189" s="427">
        <f t="shared" ca="1" si="31"/>
        <v>50.776119402985074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IFERROR(__xludf.DUMMYFUNCTION("IMPORTRANGE(""https://docs.google.com/spreadsheets/d/1-uDff_7J0KD5mKrp0Vvzr7lt3OU09vwQwhkpOPPYv2Y/edit?usp=sharing"",""งบพรบ!CU57"")"),98200)</f>
        <v>98200</v>
      </c>
      <c r="M191" s="427">
        <f ca="1">IFERROR(__xludf.DUMMYFUNCTION("IMPORTRANGE(""https://docs.google.com/spreadsheets/d/1-uDff_7J0KD5mKrp0Vvzr7lt3OU09vwQwhkpOPPYv2Y/edit?usp=sharing"",""งบพรบ!CZ57"")"),67000)</f>
        <v>67000</v>
      </c>
      <c r="N191" s="427">
        <f ca="1">IFERROR(__xludf.DUMMYFUNCTION("IMPORTRANGE(""https://docs.google.com/spreadsheets/d/1-uDff_7J0KD5mKrp0Vvzr7lt3OU09vwQwhkpOPPYv2Y/edit?usp=sharing"",""งบพรบ!DB57"")"),34020)</f>
        <v>34020</v>
      </c>
      <c r="O191" s="427">
        <f t="shared" ca="1" si="30"/>
        <v>34.64358452138493</v>
      </c>
      <c r="P191" s="427">
        <f t="shared" ca="1" si="31"/>
        <v>50.776119402985074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IFERROR(__xludf.DUMMYFUNCTION("IMPORTRANGE(""https://docs.google.com/spreadsheets/d/1-uDff_7J0KD5mKrp0Vvzr7lt3OU09vwQwhkpOPPYv2Y/edit?usp=sharing"",""งบพรบ!CX57"")"),0)</f>
        <v>0</v>
      </c>
      <c r="M194" s="427">
        <f ca="1">IFERROR(__xludf.DUMMYFUNCTION("IMPORTRANGE(""https://docs.google.com/spreadsheets/d/1-uDff_7J0KD5mKrp0Vvzr7lt3OU09vwQwhkpOPPYv2Y/edit?usp=sharing"",""งบพรบ!DA57"")"),0)</f>
        <v>0</v>
      </c>
      <c r="N194" s="427">
        <f ca="1">IFERROR(__xludf.DUMMYFUNCTION("IMPORTRANGE(""https://docs.google.com/spreadsheets/d/1-uDff_7J0KD5mKrp0Vvzr7lt3OU09vwQwhkpOPPYv2Y/edit?usp=sharing"",""งบพรบ!DC57"")"),0)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IFERROR(__xludf.DUMMYFUNCTION("IMPORTRANGE(""https://docs.google.com/spreadsheets/d/1eHaY18a8A9IcSdp1K8H6x8fbOy06t2VsZHhMHf-1x7Y/edit?usp=sharing"",""แผน!AB57"")"),6000)</f>
        <v>6000</v>
      </c>
      <c r="M196" s="430"/>
      <c r="N196" s="827">
        <v>360</v>
      </c>
      <c r="O196" s="715">
        <f ca="1">IF(L196&gt;0,N196*100/L196,0)</f>
        <v>6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IFERROR(__xludf.DUMMYFUNCTION("IMPORTRANGE(""https://docs.google.com/spreadsheets/d/1eHaY18a8A9IcSdp1K8H6x8fbOy06t2VsZHhMHf-1x7Y/edit?usp=sharing"",""แผน!AE57"")"),4)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100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100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IFERROR(__xludf.DUMMYFUNCTION("IMPORTRANGE(""https://docs.google.com/spreadsheets/d/1eHaY18a8A9IcSdp1K8H6x8fbOy06t2VsZHhMHf-1x7Y/edit?usp=sharing"",""แผน!AG57"")"),1000)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IFERROR(__xludf.DUMMYFUNCTION("IMPORTRANGE(""https://docs.google.com/spreadsheets/d/1eHaY18a8A9IcSdp1K8H6x8fbOy06t2VsZHhMHf-1x7Y/edit?usp=sharing"",""แผน!AH57"")"),0)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IFERROR(__xludf.DUMMYFUNCTION("IMPORTRANGE(""https://docs.google.com/spreadsheets/d/1eHaY18a8A9IcSdp1K8H6x8fbOy06t2VsZHhMHf-1x7Y/edit?usp=sharing"",""แผน!AI57"")"),8000)</f>
        <v>8000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IFERROR(__xludf.DUMMYFUNCTION("IMPORTRANGE(""https://docs.google.com/spreadsheets/d/1eHaY18a8A9IcSdp1K8H6x8fbOy06t2VsZHhMHf-1x7Y/edit?usp=sharing"",""แผน!AJ57"")"),4000)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IFERROR(__xludf.DUMMYFUNCTION("IMPORTRANGE(""https://docs.google.com/spreadsheets/d/1eHaY18a8A9IcSdp1K8H6x8fbOy06t2VsZHhMHf-1x7Y/edit?usp=sharing"",""แผน!AK57"")"),1)</f>
        <v>1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IFERROR(__xludf.DUMMYFUNCTION("IMPORTRANGE(""https://docs.google.com/spreadsheets/d/1eHaY18a8A9IcSdp1K8H6x8fbOy06t2VsZHhMHf-1x7Y/edit?usp=sharing"",""แผน!JX57"")"),1)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IFERROR(__xludf.DUMMYFUNCTION("IMPORTRANGE(""https://docs.google.com/spreadsheets/d/1eHaY18a8A9IcSdp1K8H6x8fbOy06t2VsZHhMHf-1x7Y/edit?usp=sharing"",""แผน!JY57"")"),0)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IFERROR(__xludf.DUMMYFUNCTION("IMPORTRANGE(""https://docs.google.com/spreadsheets/d/1eHaY18a8A9IcSdp1K8H6x8fbOy06t2VsZHhMHf-1x7Y/edit?usp=sharing"",""แผน!AM57"")"),0)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IFERROR(__xludf.DUMMYFUNCTION("IMPORTRANGE(""https://docs.google.com/spreadsheets/d/1eHaY18a8A9IcSdp1K8H6x8fbOy06t2VsZHhMHf-1x7Y/edit?usp=sharing"",""แผน!AN57"")"),0)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IFERROR(__xludf.DUMMYFUNCTION("IMPORTRANGE(""https://docs.google.com/spreadsheets/d/1eHaY18a8A9IcSdp1K8H6x8fbOy06t2VsZHhMHf-1x7Y/edit?usp=sharing"",""แผน!AO57"")"),0)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IFERROR(__xludf.DUMMYFUNCTION("IMPORTRANGE(""https://docs.google.com/spreadsheets/d/1eHaY18a8A9IcSdp1K8H6x8fbOy06t2VsZHhMHf-1x7Y/edit?usp=sharing"",""แผน!AP57"")"),0)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IFERROR(__xludf.DUMMYFUNCTION("IMPORTRANGE(""https://docs.google.com/spreadsheets/d/1eHaY18a8A9IcSdp1K8H6x8fbOy06t2VsZHhMHf-1x7Y/edit?usp=sharing"",""แผน!AP57"")"),0)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12800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IFERROR(__xludf.DUMMYFUNCTION("IMPORTRANGE(""https://docs.google.com/spreadsheets/d/1eHaY18a8A9IcSdp1K8H6x8fbOy06t2VsZHhMHf-1x7Y/edit?usp=sharing"",""แผน!AR57"")"),3000)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IFERROR(__xludf.DUMMYFUNCTION("IMPORTRANGE(""https://docs.google.com/spreadsheets/d/1eHaY18a8A9IcSdp1K8H6x8fbOy06t2VsZHhMHf-1x7Y/edit?usp=sharing"",""แผน!AS57"")"),1500)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IFERROR(__xludf.DUMMYFUNCTION("IMPORTRANGE(""https://docs.google.com/spreadsheets/d/1eHaY18a8A9IcSdp1K8H6x8fbOy06t2VsZHhMHf-1x7Y/edit?usp=sharing"",""แผน!AT57"")"),0)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IFERROR(__xludf.DUMMYFUNCTION("IMPORTRANGE(""https://docs.google.com/spreadsheets/d/1eHaY18a8A9IcSdp1K8H6x8fbOy06t2VsZHhMHf-1x7Y/edit?usp=sharing"",""แผน!AV57"")"),12800)</f>
        <v>12800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IFERROR(__xludf.DUMMYFUNCTION("IMPORTRANGE(""https://docs.google.com/spreadsheets/d/1eHaY18a8A9IcSdp1K8H6x8fbOy06t2VsZHhMHf-1x7Y/edit?usp=sharing"",""แผน!AV57"")"),12800)</f>
        <v>12800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IFERROR(__xludf.DUMMYFUNCTION("IMPORTRANGE(""https://docs.google.com/spreadsheets/d/1eHaY18a8A9IcSdp1K8H6x8fbOy06t2VsZHhMHf-1x7Y/edit?usp=sharing"",""แผน!AU57"")"),0)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1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1"/>
      <c r="C232" s="711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1"/>
      <c r="D233" s="729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29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29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708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05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708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05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05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15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1"/>
      <c r="C243" s="58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1"/>
      <c r="D244" s="603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IFERROR(__xludf.DUMMYFUNCTION("IMPORTRANGE(""https://docs.google.com/spreadsheets/d/1eHaY18a8A9IcSdp1K8H6x8fbOy06t2VsZHhMHf-1x7Y/edit?usp=sharing"",""แผน!AX57"")"),0)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03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IFERROR(__xludf.DUMMYFUNCTION("IMPORTRANGE(""https://docs.google.com/spreadsheets/d/1eHaY18a8A9IcSdp1K8H6x8fbOy06t2VsZHhMHf-1x7Y/edit?usp=sharing"",""แผน!AY57"")"),0)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03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IFERROR(__xludf.DUMMYFUNCTION("IMPORTRANGE(""https://docs.google.com/spreadsheets/d/1eHaY18a8A9IcSdp1K8H6x8fbOy06t2VsZHhMHf-1x7Y/edit?usp=sharing"",""แผน!AZ57"")"),0)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IFERROR(__xludf.DUMMYFUNCTION("IMPORTRANGE(""https://docs.google.com/spreadsheets/d/1eHaY18a8A9IcSdp1K8H6x8fbOy06t2VsZHhMHf-1x7Y/edit?usp=sharing"",""แผน!BA57"")"),0)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708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19" t="s">
        <v>33</v>
      </c>
      <c r="I249" s="201">
        <f ca="1">IFERROR(__xludf.DUMMYFUNCTION("IMPORTRANGE(""https://docs.google.com/spreadsheets/d/1eHaY18a8A9IcSdp1K8H6x8fbOy06t2VsZHhMHf-1x7Y/edit?usp=sharing"",""แผน!BG57"")"),0)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708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19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19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603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IFERROR(__xludf.DUMMYFUNCTION("IMPORTRANGE(""https://docs.google.com/spreadsheets/d/1eHaY18a8A9IcSdp1K8H6x8fbOy06t2VsZHhMHf-1x7Y/edit?usp=sharing"",""แผน!BB57"")"),0)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03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IFERROR(__xludf.DUMMYFUNCTION("IMPORTRANGE(""https://docs.google.com/spreadsheets/d/1eHaY18a8A9IcSdp1K8H6x8fbOy06t2VsZHhMHf-1x7Y/edit?usp=sharing"",""แผน!BC57"")"),0)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03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IFERROR(__xludf.DUMMYFUNCTION("IMPORTRANGE(""https://docs.google.com/spreadsheets/d/1eHaY18a8A9IcSdp1K8H6x8fbOy06t2VsZHhMHf-1x7Y/edit?usp=sharing"",""แผน!BD57"")"),0)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IFERROR(__xludf.DUMMYFUNCTION("IMPORTRANGE(""https://docs.google.com/spreadsheets/d/1eHaY18a8A9IcSdp1K8H6x8fbOy06t2VsZHhMHf-1x7Y/edit?usp=sharing"",""แผน!BE57"")"),0)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IFERROR(__xludf.DUMMYFUNCTION("IMPORTRANGE(""https://docs.google.com/spreadsheets/d/1eHaY18a8A9IcSdp1K8H6x8fbOy06t2VsZHhMHf-1x7Y/edit?usp=sharing"",""แผน!BH57"")"),0)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IFERROR(__xludf.DUMMYFUNCTION("IMPORTRANGE(""https://docs.google.com/spreadsheets/d/1-uDff_7J0KD5mKrp0Vvzr7lt3OU09vwQwhkpOPPYv2Y/edit?usp=sharing"",""งบพรบ!DE57"")"),0)</f>
        <v>0</v>
      </c>
      <c r="M271" s="502">
        <f ca="1">IFERROR(__xludf.DUMMYFUNCTION("IMPORTRANGE(""https://docs.google.com/spreadsheets/d/1-uDff_7J0KD5mKrp0Vvzr7lt3OU09vwQwhkpOPPYv2Y/edit?usp=sharing"",""งบพรบ!DJ57"")"),0)</f>
        <v>0</v>
      </c>
      <c r="N271" s="502">
        <f ca="1">IFERROR(__xludf.DUMMYFUNCTION("IMPORTRANGE(""https://docs.google.com/spreadsheets/d/1-uDff_7J0KD5mKrp0Vvzr7lt3OU09vwQwhkpOPPYv2Y/edit?usp=sharing"",""งบพรบ!DL57"")"),0)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IFERROR(__xludf.DUMMYFUNCTION("IMPORTRANGE(""https://docs.google.com/spreadsheets/d/1-uDff_7J0KD5mKrp0Vvzr7lt3OU09vwQwhkpOPPYv2Y/edit?usp=sharing"",""งบพรบ!DH57"")"),0)</f>
        <v>0</v>
      </c>
      <c r="M274" s="502">
        <f ca="1">IFERROR(__xludf.DUMMYFUNCTION("IMPORTRANGE(""https://docs.google.com/spreadsheets/d/1-uDff_7J0KD5mKrp0Vvzr7lt3OU09vwQwhkpOPPYv2Y/edit?usp=sharing"",""งบพรบ!DK57"")"),0)</f>
        <v>0</v>
      </c>
      <c r="N274" s="502">
        <f ca="1">IFERROR(__xludf.DUMMYFUNCTION("IMPORTRANGE(""https://docs.google.com/spreadsheets/d/1-uDff_7J0KD5mKrp0Vvzr7lt3OU09vwQwhkpOPPYv2Y/edit?usp=sharing"",""งบพรบ!DM57"")"),0)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IFERROR(__xludf.DUMMYFUNCTION("IMPORTRANGE(""https://docs.google.com/spreadsheets/d/1-uDff_7J0KD5mKrp0Vvzr7lt3OU09vwQwhkpOPPYv2Y/edit?usp=sharing"",""งบพรบ!DO57"")"),0)</f>
        <v>0</v>
      </c>
      <c r="M287" s="427">
        <f ca="1">IFERROR(__xludf.DUMMYFUNCTION("IMPORTRANGE(""https://docs.google.com/spreadsheets/d/1-uDff_7J0KD5mKrp0Vvzr7lt3OU09vwQwhkpOPPYv2Y/edit?usp=sharing"",""งบพรบ!DT57"")"),0)</f>
        <v>0</v>
      </c>
      <c r="N287" s="427">
        <f ca="1">IFERROR(__xludf.DUMMYFUNCTION("IMPORTRANGE(""https://docs.google.com/spreadsheets/d/1-uDff_7J0KD5mKrp0Vvzr7lt3OU09vwQwhkpOPPYv2Y/edit?usp=sharing"",""งบพรบ!DV57"")"),0)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IFERROR(__xludf.DUMMYFUNCTION("IMPORTRANGE(""https://docs.google.com/spreadsheets/d/1-uDff_7J0KD5mKrp0Vvzr7lt3OU09vwQwhkpOPPYv2Y/edit?usp=sharing"",""งบพรบ!DR57"")"),0)</f>
        <v>0</v>
      </c>
      <c r="M290" s="427">
        <f ca="1">IFERROR(__xludf.DUMMYFUNCTION("IMPORTRANGE(""https://docs.google.com/spreadsheets/d/1-uDff_7J0KD5mKrp0Vvzr7lt3OU09vwQwhkpOPPYv2Y/edit?usp=sharing"",""งบพรบ!DU57"")"),0)</f>
        <v>0</v>
      </c>
      <c r="N290" s="427">
        <f ca="1">IFERROR(__xludf.DUMMYFUNCTION("IMPORTRANGE(""https://docs.google.com/spreadsheets/d/1-uDff_7J0KD5mKrp0Vvzr7lt3OU09vwQwhkpOPPYv2Y/edit?usp=sharing"",""งบพรบ!DW57"")"),0)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IFERROR(__xludf.DUMMYFUNCTION("IMPORTRANGE(""https://docs.google.com/spreadsheets/d/1eHaY18a8A9IcSdp1K8H6x8fbOy06t2VsZHhMHf-1x7Y/edit?usp=sharing"",""แผน!EE57"")"),0)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IFERROR(__xludf.DUMMYFUNCTION("IMPORTRANGE(""https://docs.google.com/spreadsheets/d/1eHaY18a8A9IcSdp1K8H6x8fbOy06t2VsZHhMHf-1x7Y/edit?usp=sharing"",""แผน!ED57"")"),0)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IFERROR(__xludf.DUMMYFUNCTION("IMPORTRANGE(""https://docs.google.com/spreadsheets/d/1eHaY18a8A9IcSdp1K8H6x8fbOy06t2VsZHhMHf-1x7Y/edit?usp=sharing"",""แผน!ED57"")"),0)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IFERROR(__xludf.DUMMYFUNCTION("IMPORTRANGE(""https://docs.google.com/spreadsheets/d/1eHaY18a8A9IcSdp1K8H6x8fbOy06t2VsZHhMHf-1x7Y/edit?usp=sharing"",""แผน!ED57"")"),0)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20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133500</v>
      </c>
      <c r="M303" s="715">
        <f ca="1">M304+M305</f>
        <v>100900</v>
      </c>
      <c r="N303" s="715">
        <f ca="1">N304+N305</f>
        <v>14600</v>
      </c>
      <c r="O303" s="715">
        <f t="shared" ref="O303:O311" ca="1" si="39">IF(L303&gt;0,N303*100/L303,0)</f>
        <v>10.936329588014981</v>
      </c>
      <c r="P303" s="715">
        <f t="shared" ref="P303:P311" ca="1" si="40">IF(M303&gt;0,N303*100/M303,0)</f>
        <v>14.469772051536175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133500</v>
      </c>
      <c r="M305" s="427">
        <f t="shared" ca="1" si="41"/>
        <v>100900</v>
      </c>
      <c r="N305" s="427">
        <f t="shared" ca="1" si="41"/>
        <v>14600</v>
      </c>
      <c r="O305" s="427">
        <f t="shared" ca="1" si="39"/>
        <v>10.936329588014981</v>
      </c>
      <c r="P305" s="427">
        <f t="shared" ca="1" si="40"/>
        <v>14.469772051536175</v>
      </c>
    </row>
    <row r="306" spans="1:16" ht="18.75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133500</v>
      </c>
      <c r="M306" s="427">
        <f ca="1">M307+M308</f>
        <v>100900</v>
      </c>
      <c r="N306" s="427">
        <f ca="1">N307+N308</f>
        <v>14600</v>
      </c>
      <c r="O306" s="427">
        <f t="shared" ca="1" si="39"/>
        <v>10.936329588014981</v>
      </c>
      <c r="P306" s="427">
        <f t="shared" ca="1" si="40"/>
        <v>14.469772051536175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IFERROR(__xludf.DUMMYFUNCTION("IMPORTRANGE(""https://docs.google.com/spreadsheets/d/1-uDff_7J0KD5mKrp0Vvzr7lt3OU09vwQwhkpOPPYv2Y/edit?usp=sharing"",""งบพรบ!DY57"")"),133500)</f>
        <v>133500</v>
      </c>
      <c r="M308" s="427">
        <f ca="1">IFERROR(__xludf.DUMMYFUNCTION("IMPORTRANGE(""https://docs.google.com/spreadsheets/d/1-uDff_7J0KD5mKrp0Vvzr7lt3OU09vwQwhkpOPPYv2Y/edit?usp=sharing"",""งบพรบ!ED57"")"),100900)</f>
        <v>100900</v>
      </c>
      <c r="N308" s="427">
        <f ca="1">IFERROR(__xludf.DUMMYFUNCTION("IMPORTRANGE(""https://docs.google.com/spreadsheets/d/1-uDff_7J0KD5mKrp0Vvzr7lt3OU09vwQwhkpOPPYv2Y/edit?usp=sharing"",""งบพรบ!EF57"")"),14600)</f>
        <v>14600</v>
      </c>
      <c r="O308" s="427">
        <f t="shared" ca="1" si="39"/>
        <v>10.936329588014981</v>
      </c>
      <c r="P308" s="427">
        <f t="shared" ca="1" si="40"/>
        <v>14.469772051536175</v>
      </c>
    </row>
    <row r="309" spans="1:16" ht="18.75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IFERROR(__xludf.DUMMYFUNCTION("IMPORTRANGE(""https://docs.google.com/spreadsheets/d/1-uDff_7J0KD5mKrp0Vvzr7lt3OU09vwQwhkpOPPYv2Y/edit?usp=sharing"",""งบพรบ!EB57"")"),0)</f>
        <v>0</v>
      </c>
      <c r="M311" s="427">
        <f ca="1">IFERROR(__xludf.DUMMYFUNCTION("IMPORTRANGE(""https://docs.google.com/spreadsheets/d/1-uDff_7J0KD5mKrp0Vvzr7lt3OU09vwQwhkpOPPYv2Y/edit?usp=sharing"",""งบพรบ!EE57"")"),0)</f>
        <v>0</v>
      </c>
      <c r="N311" s="427">
        <f ca="1">IFERROR(__xludf.DUMMYFUNCTION("IMPORTRANGE(""https://docs.google.com/spreadsheets/d/1-uDff_7J0KD5mKrp0Vvzr7lt3OU09vwQwhkpOPPYv2Y/edit?usp=sharing"",""งบพรบ!EG57"")"),0)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IFERROR(__xludf.DUMMYFUNCTION("IMPORTRANGE(""https://docs.google.com/spreadsheets/d/1eHaY18a8A9IcSdp1K8H6x8fbOy06t2VsZHhMHf-1x7Y/edit?usp=sharing"",""แผน!EF57"")"),20)</f>
        <v>20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IFERROR(__xludf.DUMMYFUNCTION("IMPORTRANGE(""https://docs.google.com/spreadsheets/d/1eHaY18a8A9IcSdp1K8H6x8fbOy06t2VsZHhMHf-1x7Y/edit?usp=sharing"",""แผน!EG57"")"),4)</f>
        <v>4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IFERROR(__xludf.DUMMYFUNCTION("IMPORTRANGE(""https://docs.google.com/spreadsheets/d/1eHaY18a8A9IcSdp1K8H6x8fbOy06t2VsZHhMHf-1x7Y/edit?usp=sharing"",""แผน!EH57"")"),20)</f>
        <v>20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IFERROR(__xludf.DUMMYFUNCTION("IMPORTRANGE(""https://docs.google.com/spreadsheets/d/1eHaY18a8A9IcSdp1K8H6x8fbOy06t2VsZHhMHf-1x7Y/edit?usp=sharing"",""แผน!EI57"")"),4)</f>
        <v>4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IFERROR(__xludf.DUMMYFUNCTION("IMPORTRANGE(""https://docs.google.com/spreadsheets/d/1-uDff_7J0KD5mKrp0Vvzr7lt3OU09vwQwhkpOPPYv2Y/edit?usp=sharing"",""งบพรบ!EI57"")"),0)</f>
        <v>0</v>
      </c>
      <c r="M325" s="427">
        <f ca="1">IFERROR(__xludf.DUMMYFUNCTION("IMPORTRANGE(""https://docs.google.com/spreadsheets/d/1-uDff_7J0KD5mKrp0Vvzr7lt3OU09vwQwhkpOPPYv2Y/edit?usp=sharing"",""งบพรบ!EN57"")"),0)</f>
        <v>0</v>
      </c>
      <c r="N325" s="427">
        <f ca="1">IFERROR(__xludf.DUMMYFUNCTION("IMPORTRANGE(""https://docs.google.com/spreadsheets/d/1-uDff_7J0KD5mKrp0Vvzr7lt3OU09vwQwhkpOPPYv2Y/edit?usp=sharing"",""งบพรบ!EP57"")"),0)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IFERROR(__xludf.DUMMYFUNCTION("IMPORTRANGE(""https://docs.google.com/spreadsheets/d/1-uDff_7J0KD5mKrp0Vvzr7lt3OU09vwQwhkpOPPYv2Y/edit?usp=sharing"",""งบพรบ!EL57"")"),0)</f>
        <v>0</v>
      </c>
      <c r="M328" s="427">
        <f ca="1">IFERROR(__xludf.DUMMYFUNCTION("IMPORTRANGE(""https://docs.google.com/spreadsheets/d/1-uDff_7J0KD5mKrp0Vvzr7lt3OU09vwQwhkpOPPYv2Y/edit?usp=sharing"",""งบพรบ!EO57"")"),0)</f>
        <v>0</v>
      </c>
      <c r="N328" s="427">
        <f ca="1">IFERROR(__xludf.DUMMYFUNCTION("IMPORTRANGE(""https://docs.google.com/spreadsheets/d/1-uDff_7J0KD5mKrp0Vvzr7lt3OU09vwQwhkpOPPYv2Y/edit?usp=sharing"",""งบพรบ!EQ57"")"),0)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IFERROR(__xludf.DUMMYFUNCTION("IMPORTRANGE(""https://docs.google.com/spreadsheets/d/1eHaY18a8A9IcSdp1K8H6x8fbOy06t2VsZHhMHf-1x7Y/edit?usp=sharing"",""แผน!EJ57"")"),0)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540</v>
      </c>
      <c r="J332" s="404">
        <f ca="1">J344+J347+J348+J349+J353</f>
        <v>1294</v>
      </c>
      <c r="K332" s="405">
        <f ca="1">IF(I332&gt;0,J332*100/I332,0)</f>
        <v>239.62962962962962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103000</v>
      </c>
      <c r="M333" s="715">
        <f ca="1">M334+M335</f>
        <v>83350</v>
      </c>
      <c r="N333" s="715">
        <f ca="1">N334+N335</f>
        <v>30320</v>
      </c>
      <c r="O333" s="715">
        <f t="shared" ref="O333:O341" ca="1" si="45">IF(L333&gt;0,N333*100/L333,0)</f>
        <v>29.436893203883496</v>
      </c>
      <c r="P333" s="715">
        <f t="shared" ref="P333:P341" ca="1" si="46">IF(M333&gt;0,N333*100/M333,0)</f>
        <v>36.376724655068983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103000</v>
      </c>
      <c r="M335" s="427">
        <f t="shared" ca="1" si="47"/>
        <v>83350</v>
      </c>
      <c r="N335" s="427">
        <f t="shared" ca="1" si="47"/>
        <v>30320</v>
      </c>
      <c r="O335" s="427">
        <f t="shared" ca="1" si="45"/>
        <v>29.436893203883496</v>
      </c>
      <c r="P335" s="427">
        <f t="shared" ca="1" si="46"/>
        <v>36.376724655068983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103000</v>
      </c>
      <c r="M336" s="427">
        <f ca="1">M337+M338</f>
        <v>83350</v>
      </c>
      <c r="N336" s="427">
        <f ca="1">N337+N338</f>
        <v>30320</v>
      </c>
      <c r="O336" s="427">
        <f t="shared" ca="1" si="45"/>
        <v>29.436893203883496</v>
      </c>
      <c r="P336" s="427">
        <f t="shared" ca="1" si="46"/>
        <v>36.376724655068983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IFERROR(__xludf.DUMMYFUNCTION("IMPORTRANGE(""https://docs.google.com/spreadsheets/d/1-uDff_7J0KD5mKrp0Vvzr7lt3OU09vwQwhkpOPPYv2Y/edit?usp=sharing"",""งบพรบ!ES57"")"),103000)</f>
        <v>103000</v>
      </c>
      <c r="M338" s="427">
        <f ca="1">IFERROR(__xludf.DUMMYFUNCTION("IMPORTRANGE(""https://docs.google.com/spreadsheets/d/1-uDff_7J0KD5mKrp0Vvzr7lt3OU09vwQwhkpOPPYv2Y/edit?usp=sharing"",""งบพรบ!EX57"")"),83350)</f>
        <v>83350</v>
      </c>
      <c r="N338" s="427">
        <f ca="1">IFERROR(__xludf.DUMMYFUNCTION("IMPORTRANGE(""https://docs.google.com/spreadsheets/d/1-uDff_7J0KD5mKrp0Vvzr7lt3OU09vwQwhkpOPPYv2Y/edit?usp=sharing"",""งบพรบ!EZ57"")"),30320)</f>
        <v>30320</v>
      </c>
      <c r="O338" s="427">
        <f t="shared" ca="1" si="45"/>
        <v>29.436893203883496</v>
      </c>
      <c r="P338" s="427">
        <f t="shared" ca="1" si="46"/>
        <v>36.376724655068983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IFERROR(__xludf.DUMMYFUNCTION("IMPORTRANGE(""https://docs.google.com/spreadsheets/d/1-uDff_7J0KD5mKrp0Vvzr7lt3OU09vwQwhkpOPPYv2Y/edit?usp=sharing"",""งบพรบ!EV57"")"),0)</f>
        <v>0</v>
      </c>
      <c r="M341" s="427">
        <f ca="1">IFERROR(__xludf.DUMMYFUNCTION("IMPORTRANGE(""https://docs.google.com/spreadsheets/d/1-uDff_7J0KD5mKrp0Vvzr7lt3OU09vwQwhkpOPPYv2Y/edit?usp=sharing"",""งบพรบ!EY57"")"),0)</f>
        <v>0</v>
      </c>
      <c r="N341" s="427">
        <f ca="1">IFERROR(__xludf.DUMMYFUNCTION("IMPORTRANGE(""https://docs.google.com/spreadsheets/d/1-uDff_7J0KD5mKrp0Vvzr7lt3OU09vwQwhkpOPPYv2Y/edit?usp=sharing"",""งบพรบ!FA57"")"),0)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256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IFERROR(__xludf.DUMMYFUNCTION("IMPORTRANGE(""https://docs.google.com/spreadsheets/d/1eHaY18a8A9IcSdp1K8H6x8fbOy06t2VsZHhMHf-1x7Y/edit?usp=sharing"",""แผน!EK57"")"),540)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IFERROR(__xludf.DUMMYFUNCTION("IMPORTRANGE(""https://docs.google.com/spreadsheets/d/1awYsYK3VOup2i3Pq_Yjnu8DRu_mYwSBnCR2QPthd0rU/edit?usp=sharing"",""ศูนย์ยกเว้นโฉนด!D57"")"),254)</f>
        <v>254</v>
      </c>
      <c r="K344" s="427">
        <f ca="1">IF(I344&gt;0,J344*100/I344,0)</f>
        <v>47.037037037037038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IFERROR(__xludf.DUMMYFUNCTION("IMPORTRANGE(""https://docs.google.com/spreadsheets/d/1eHaY18a8A9IcSdp1K8H6x8fbOy06t2VsZHhMHf-1x7Y/edit?usp=sharing"",""แผน!EL57"")"),3)</f>
        <v>3</v>
      </c>
      <c r="J346" s="426">
        <f ca="1">IFERROR(__xludf.DUMMYFUNCTION("IMPORTRANGE(""https://docs.google.com/spreadsheets/d/1awYsYK3VOup2i3Pq_Yjnu8DRu_mYwSBnCR2QPthd0rU/edit?usp=sharing"",""ศูนย์รวม!E57"")"),7)</f>
        <v>7</v>
      </c>
      <c r="K346" s="427">
        <f ca="1">IF(I346&gt;0,J346*100/I346,0)</f>
        <v>233.33333333333334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IFERROR(__xludf.DUMMYFUNCTION("IMPORTRANGE(""https://docs.google.com/spreadsheets/d/1awYsYK3VOup2i3Pq_Yjnu8DRu_mYwSBnCR2QPthd0rU/edit?usp=sharing"",""ศูนย์ยกเว้นโฉนด!G57"")"),2)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1040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IFERROR(__xludf.DUMMYFUNCTION("IMPORTRANGE(""https://docs.google.com/spreadsheets/d/1awYsYK3VOup2i3Pq_Yjnu8DRu_mYwSBnCR2QPthd0rU/edit?usp=sharing"",""โฉนดM3!G57"")"),2)</f>
        <v>2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IFERROR(__xludf.DUMMYFUNCTION("IMPORTRANGE(""https://docs.google.com/spreadsheets/d/1awYsYK3VOup2i3Pq_Yjnu8DRu_mYwSBnCR2QPthd0rU/edit?usp=sharing"",""โฉนดM3!H57"")"),1038)</f>
        <v>1038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368685</v>
      </c>
      <c r="M356" s="715">
        <f ca="1">M357+M358</f>
        <v>298685</v>
      </c>
      <c r="N356" s="715">
        <f ca="1">N357+N358</f>
        <v>119510</v>
      </c>
      <c r="O356" s="715">
        <f t="shared" ref="O356:O364" ca="1" si="48">IF(L356&gt;0,N356*100/L356,0)</f>
        <v>32.415205392136919</v>
      </c>
      <c r="P356" s="715">
        <f t="shared" ref="P356:P364" ca="1" si="49">IF(M356&gt;0,N356*100/M356,0)</f>
        <v>40.012052831578416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368685</v>
      </c>
      <c r="M358" s="427">
        <f t="shared" ca="1" si="50"/>
        <v>298685</v>
      </c>
      <c r="N358" s="427">
        <f t="shared" ca="1" si="50"/>
        <v>119510</v>
      </c>
      <c r="O358" s="427">
        <f t="shared" ca="1" si="48"/>
        <v>32.415205392136919</v>
      </c>
      <c r="P358" s="427">
        <f t="shared" ca="1" si="49"/>
        <v>40.012052831578416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368685</v>
      </c>
      <c r="M359" s="427">
        <f ca="1">M360+M361</f>
        <v>298685</v>
      </c>
      <c r="N359" s="427">
        <f ca="1">N360+N361</f>
        <v>119510</v>
      </c>
      <c r="O359" s="427">
        <f t="shared" ca="1" si="48"/>
        <v>32.415205392136919</v>
      </c>
      <c r="P359" s="427">
        <f t="shared" ca="1" si="49"/>
        <v>40.012052831578416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IFERROR(__xludf.DUMMYFUNCTION("IMPORTRANGE(""https://docs.google.com/spreadsheets/d/1-uDff_7J0KD5mKrp0Vvzr7lt3OU09vwQwhkpOPPYv2Y/edit?usp=sharing"",""งบพรบ!FC57"")"),368685)</f>
        <v>368685</v>
      </c>
      <c r="M361" s="427">
        <f ca="1">IFERROR(__xludf.DUMMYFUNCTION("IMPORTRANGE(""https://docs.google.com/spreadsheets/d/1-uDff_7J0KD5mKrp0Vvzr7lt3OU09vwQwhkpOPPYv2Y/edit?usp=sharing"",""งบพรบ!FH57"")"),298685)</f>
        <v>298685</v>
      </c>
      <c r="N361" s="427">
        <f ca="1">IFERROR(__xludf.DUMMYFUNCTION("IMPORTRANGE(""https://docs.google.com/spreadsheets/d/1-uDff_7J0KD5mKrp0Vvzr7lt3OU09vwQwhkpOPPYv2Y/edit?usp=sharing"",""งบพรบ!FJ57"")"),119510)</f>
        <v>119510</v>
      </c>
      <c r="O361" s="427">
        <f t="shared" ca="1" si="48"/>
        <v>32.415205392136919</v>
      </c>
      <c r="P361" s="427">
        <f t="shared" ca="1" si="49"/>
        <v>40.012052831578416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IFERROR(__xludf.DUMMYFUNCTION("IMPORTRANGE(""https://docs.google.com/spreadsheets/d/1-uDff_7J0KD5mKrp0Vvzr7lt3OU09vwQwhkpOPPYv2Y/edit?usp=sharing"",""งบพรบ!FF57"")"),0)</f>
        <v>0</v>
      </c>
      <c r="M364" s="427">
        <f ca="1">IFERROR(__xludf.DUMMYFUNCTION("IMPORTRANGE(""https://docs.google.com/spreadsheets/d/1-uDff_7J0KD5mKrp0Vvzr7lt3OU09vwQwhkpOPPYv2Y/edit?usp=sharing"",""งบพรบ!FI57"")"),0)</f>
        <v>0</v>
      </c>
      <c r="N364" s="427">
        <f ca="1">IFERROR(__xludf.DUMMYFUNCTION("IMPORTRANGE(""https://docs.google.com/spreadsheets/d/1-uDff_7J0KD5mKrp0Vvzr7lt3OU09vwQwhkpOPPYv2Y/edit?usp=sharing"",""งบพรบ!FK57"")"),0)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42</v>
      </c>
      <c r="J365" s="440">
        <f ca="1">J371</f>
        <v>2</v>
      </c>
      <c r="K365" s="441">
        <f ca="1">IF(I365&gt;0,J365*100/I365,0)</f>
        <v>4.7619047619047619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IFERROR(__xludf.DUMMYFUNCTION("IMPORTRANGE(""https://docs.google.com/spreadsheets/d/1tdoBKaGub7dwA3U6UFTqxio9LNnvDCQjHKmttSEBsFQ/edit?usp=sharing"",""จัดที่ดิน!AB57"")"),0)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IFERROR(__xludf.DUMMYFUNCTION("IMPORTRANGE(""https://docs.google.com/spreadsheets/d/1eHaY18a8A9IcSdp1K8H6x8fbOy06t2VsZHhMHf-1x7Y/edit?usp=sharing"",""แผน!EW57"")"),265)</f>
        <v>265</v>
      </c>
      <c r="J368" s="704">
        <f ca="1">IFERROR(__xludf.DUMMYFUNCTION("IMPORTRANGE(""https://docs.google.com/spreadsheets/d/1tdoBKaGub7dwA3U6UFTqxio9LNnvDCQjHKmttSEBsFQ/edit?usp=sharing"",""จัดที่ดิน!AC57"")"),0)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IFERROR(__xludf.DUMMYFUNCTION("IMPORTRANGE(""https://docs.google.com/spreadsheets/d/1eHaY18a8A9IcSdp1K8H6x8fbOy06t2VsZHhMHf-1x7Y/edit?usp=sharing"",""แผน!EX57"")"),53)</f>
        <v>53</v>
      </c>
      <c r="J369" s="426">
        <f ca="1">IFERROR(__xludf.DUMMYFUNCTION("IMPORTRANGE(""https://docs.google.com/spreadsheets/d/1tdoBKaGub7dwA3U6UFTqxio9LNnvDCQjHKmttSEBsFQ/edit?usp=sharing"",""จัดที่ดิน!AD57"")"),0)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IFERROR(__xludf.DUMMYFUNCTION("IMPORTRANGE(""https://docs.google.com/spreadsheets/d/1tdoBKaGub7dwA3U6UFTqxio9LNnvDCQjHKmttSEBsFQ/edit?usp=sharing"",""จัดที่ดิน!AE57"")"),0)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IFERROR(__xludf.DUMMYFUNCTION("IMPORTRANGE(""https://docs.google.com/spreadsheets/d/1eHaY18a8A9IcSdp1K8H6x8fbOy06t2VsZHhMHf-1x7Y/edit?usp=sharing"",""แผน!EY57"")"),42)</f>
        <v>42</v>
      </c>
      <c r="J371" s="426">
        <f ca="1">IFERROR(__xludf.DUMMYFUNCTION("IMPORTRANGE(""https://docs.google.com/spreadsheets/d/1tdoBKaGub7dwA3U6UFTqxio9LNnvDCQjHKmttSEBsFQ/edit?usp=sharing"",""จัดที่ดิน!AF57"")"),2)</f>
        <v>2</v>
      </c>
      <c r="K371" s="427">
        <f t="shared" ca="1" si="51"/>
        <v>4.7619047619047619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IFERROR(__xludf.DUMMYFUNCTION("IMPORTRANGE(""https://docs.google.com/spreadsheets/d/1tdoBKaGub7dwA3U6UFTqxio9LNnvDCQjHKmttSEBsFQ/edit?usp=sharing"",""จัดที่ดิน!AG57"")"),5.61999999999999)</f>
        <v>5.6199999999999903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IFERROR(__xludf.DUMMYFUNCTION("IMPORTRANGE(""https://docs.google.com/spreadsheets/d/1-uDff_7J0KD5mKrp0Vvzr7lt3OU09vwQwhkpOPPYv2Y/edit?usp=sharing"",""งบพรบ!FM57"")"),0)</f>
        <v>0</v>
      </c>
      <c r="M382" s="502">
        <f ca="1">IFERROR(__xludf.DUMMYFUNCTION("IMPORTRANGE(""https://docs.google.com/spreadsheets/d/1-uDff_7J0KD5mKrp0Vvzr7lt3OU09vwQwhkpOPPYv2Y/edit?usp=sharing"",""งบพรบ!FR57"")"),0)</f>
        <v>0</v>
      </c>
      <c r="N382" s="502">
        <f ca="1">IFERROR(__xludf.DUMMYFUNCTION("IMPORTRANGE(""https://docs.google.com/spreadsheets/d/1-uDff_7J0KD5mKrp0Vvzr7lt3OU09vwQwhkpOPPYv2Y/edit?usp=sharing"",""งบพรบ!FT57"")"),0)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IFERROR(__xludf.DUMMYFUNCTION("IMPORTRANGE(""https://docs.google.com/spreadsheets/d/1-uDff_7J0KD5mKrp0Vvzr7lt3OU09vwQwhkpOPPYv2Y/edit?usp=sharing"",""งบพรบ!FP57"")"),0)</f>
        <v>0</v>
      </c>
      <c r="M385" s="502">
        <f ca="1">IFERROR(__xludf.DUMMYFUNCTION("IMPORTRANGE(""https://docs.google.com/spreadsheets/d/1-uDff_7J0KD5mKrp0Vvzr7lt3OU09vwQwhkpOPPYv2Y/edit?usp=sharing"",""งบพรบ!FS57"")"),0)</f>
        <v>0</v>
      </c>
      <c r="N385" s="502">
        <f ca="1">IFERROR(__xludf.DUMMYFUNCTION("IMPORTRANGE(""https://docs.google.com/spreadsheets/d/1-uDff_7J0KD5mKrp0Vvzr7lt3OU09vwQwhkpOPPYv2Y/edit?usp=sharing"",""งบพรบ!FU57"")"),0)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8D60-5296-43A1-A632-5270BDCF4A1F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257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19.5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1301350</v>
      </c>
      <c r="M18" s="843">
        <f ca="1">M19+M20</f>
        <v>1061430</v>
      </c>
      <c r="N18" s="843">
        <f ca="1">N19+N20</f>
        <v>511785.58999999997</v>
      </c>
      <c r="O18" s="843">
        <f t="shared" ref="O18:O26" ca="1" si="0">IF(L18&gt;0,N18*100/L18,0)</f>
        <v>39.327282437468781</v>
      </c>
      <c r="P18" s="843">
        <f t="shared" ref="P18:P26" ca="1" si="1">IF(M18&gt;0,N18*100/M18,0)</f>
        <v>48.216612494465011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1301350</v>
      </c>
      <c r="M20" s="947">
        <f t="shared" ca="1" si="2"/>
        <v>1061430</v>
      </c>
      <c r="N20" s="947">
        <f t="shared" ca="1" si="2"/>
        <v>511785.58999999997</v>
      </c>
      <c r="O20" s="947">
        <f t="shared" ca="1" si="0"/>
        <v>39.327282437468781</v>
      </c>
      <c r="P20" s="947">
        <f t="shared" ca="1" si="1"/>
        <v>48.216612494465011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1301350</v>
      </c>
      <c r="M21" s="427">
        <f ca="1">M22+M23</f>
        <v>1061430</v>
      </c>
      <c r="N21" s="427">
        <f ca="1">N22+N23</f>
        <v>511785.58999999997</v>
      </c>
      <c r="O21" s="427">
        <f t="shared" ca="1" si="0"/>
        <v>39.327282437468781</v>
      </c>
      <c r="P21" s="427">
        <f t="shared" ca="1" si="1"/>
        <v>48.216612494465011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1301350</v>
      </c>
      <c r="M23" s="427">
        <f t="shared" ca="1" si="3"/>
        <v>1061430</v>
      </c>
      <c r="N23" s="427">
        <f t="shared" ca="1" si="3"/>
        <v>511785.58999999997</v>
      </c>
      <c r="O23" s="427">
        <f t="shared" ca="1" si="0"/>
        <v>39.327282437468781</v>
      </c>
      <c r="P23" s="427">
        <f t="shared" ca="1" si="1"/>
        <v>48.216612494465011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1301350</v>
      </c>
      <c r="M40" s="940">
        <f ca="1">M44+M59+M72+M94+M125+M139+M157+M173+M186+M266+M282+M303+M320+M333+M356</f>
        <v>1061430</v>
      </c>
      <c r="N40" s="940">
        <f ca="1">N44+N59+N72+N94+N125+N139+N157+N173+N186+N266+N282+N303+N320+N333+N356</f>
        <v>511785.58999999997</v>
      </c>
      <c r="O40" s="940">
        <f ca="1">IF(L40&gt;0,N40*100/L40,0)</f>
        <v>39.327282437468781</v>
      </c>
      <c r="P40" s="940">
        <f ca="1">IF(M40&gt;0,N40*100/M40,0)</f>
        <v>48.216612494465011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189350</v>
      </c>
      <c r="M44" s="925">
        <f ca="1">M45+M46</f>
        <v>195830</v>
      </c>
      <c r="N44" s="925">
        <f ca="1">N45+N46</f>
        <v>98730</v>
      </c>
      <c r="O44" s="925">
        <f t="shared" ref="O44:O52" ca="1" si="5">IF(L44&gt;0,N44*100/L44,0)</f>
        <v>52.141536836546081</v>
      </c>
      <c r="P44" s="925">
        <f t="shared" ref="P44:P52" ca="1" si="6">IF(M44&gt;0,N44*100/M44,0)</f>
        <v>50.416177296634835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189350</v>
      </c>
      <c r="M46" s="917">
        <f t="shared" ca="1" si="7"/>
        <v>195830</v>
      </c>
      <c r="N46" s="917">
        <f t="shared" ca="1" si="7"/>
        <v>98730</v>
      </c>
      <c r="O46" s="917">
        <f t="shared" ca="1" si="5"/>
        <v>52.141536836546081</v>
      </c>
      <c r="P46" s="917">
        <f t="shared" ca="1" si="6"/>
        <v>50.416177296634835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189350</v>
      </c>
      <c r="M47" s="427">
        <f ca="1">M48+M49</f>
        <v>195830</v>
      </c>
      <c r="N47" s="427">
        <f ca="1">N48+N49</f>
        <v>98730</v>
      </c>
      <c r="O47" s="427">
        <f t="shared" ca="1" si="5"/>
        <v>52.141536836546081</v>
      </c>
      <c r="P47" s="427">
        <f t="shared" ca="1" si="6"/>
        <v>50.416177296634835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IFERROR(__xludf.DUMMYFUNCTION("IMPORTRANGE(""https://docs.google.com/spreadsheets/d/1-uDff_7J0KD5mKrp0Vvzr7lt3OU09vwQwhkpOPPYv2Y/edit?usp=sharing"",""งบพรบ!P58"")"),189350)</f>
        <v>189350</v>
      </c>
      <c r="M49" s="427">
        <f ca="1">IFERROR(__xludf.DUMMYFUNCTION("IMPORTRANGE(""https://docs.google.com/spreadsheets/d/1-uDff_7J0KD5mKrp0Vvzr7lt3OU09vwQwhkpOPPYv2Y/edit?usp=sharing"",""งบพรบ!V58"")"),195830)</f>
        <v>195830</v>
      </c>
      <c r="N49" s="427">
        <f ca="1">IFERROR(__xludf.DUMMYFUNCTION("IMPORTRANGE(""https://docs.google.com/spreadsheets/d/1-uDff_7J0KD5mKrp0Vvzr7lt3OU09vwQwhkpOPPYv2Y/edit?usp=sharing"",""งบพรบ!Y58"")"),98730)</f>
        <v>98730</v>
      </c>
      <c r="O49" s="427">
        <f t="shared" ca="1" si="5"/>
        <v>52.141536836546081</v>
      </c>
      <c r="P49" s="427">
        <f t="shared" ca="1" si="6"/>
        <v>50.416177296634835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IFERROR(__xludf.DUMMYFUNCTION("IMPORTRANGE(""https://docs.google.com/spreadsheets/d/1-uDff_7J0KD5mKrp0Vvzr7lt3OU09vwQwhkpOPPYv2Y/edit?usp=sharing"",""งบพรบ!S58"")"),0)</f>
        <v>0</v>
      </c>
      <c r="M52" s="427">
        <f ca="1">IFERROR(__xludf.DUMMYFUNCTION("IMPORTRANGE(""https://docs.google.com/spreadsheets/d/1-uDff_7J0KD5mKrp0Vvzr7lt3OU09vwQwhkpOPPYv2Y/edit?usp=sharing"",""งบพรบ!W58"")"),0)</f>
        <v>0</v>
      </c>
      <c r="N52" s="427">
        <f ca="1">IFERROR(__xludf.DUMMYFUNCTION("IMPORTRANGE(""https://docs.google.com/spreadsheets/d/1-uDff_7J0KD5mKrp0Vvzr7lt3OU09vwQwhkpOPPYv2Y/edit?usp=sharing"",""งบพรบ!Z58"")"),0)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429400</v>
      </c>
      <c r="M59" s="899">
        <f ca="1">M60+M61</f>
        <v>323950</v>
      </c>
      <c r="N59" s="899">
        <f ca="1">N60+N61</f>
        <v>226965.59</v>
      </c>
      <c r="O59" s="899">
        <f t="shared" ref="O59:O67" ca="1" si="8">IF(L59&gt;0,N59*100/L59,0)</f>
        <v>52.856448532836517</v>
      </c>
      <c r="P59" s="899">
        <f t="shared" ref="P59:P67" ca="1" si="9">IF(M59&gt;0,N59*100/M59,0)</f>
        <v>70.061920049390338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429400</v>
      </c>
      <c r="M61" s="891">
        <f t="shared" ca="1" si="10"/>
        <v>323950</v>
      </c>
      <c r="N61" s="891">
        <f t="shared" ca="1" si="10"/>
        <v>226965.59</v>
      </c>
      <c r="O61" s="891">
        <f t="shared" ca="1" si="8"/>
        <v>52.856448532836517</v>
      </c>
      <c r="P61" s="891">
        <f t="shared" ca="1" si="9"/>
        <v>70.061920049390338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429400</v>
      </c>
      <c r="M62" s="427">
        <f ca="1">M63+M64</f>
        <v>323950</v>
      </c>
      <c r="N62" s="427">
        <f ca="1">N63+N64</f>
        <v>226965.59</v>
      </c>
      <c r="O62" s="427">
        <f t="shared" ca="1" si="8"/>
        <v>52.856448532836517</v>
      </c>
      <c r="P62" s="427">
        <f t="shared" ca="1" si="9"/>
        <v>70.061920049390338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IFERROR(__xludf.DUMMYFUNCTION("IMPORTRANGE(""https://docs.google.com/spreadsheets/d/1-uDff_7J0KD5mKrp0Vvzr7lt3OU09vwQwhkpOPPYv2Y/edit?usp=sharing"",""งบพรบ!AC58"")"),429400)</f>
        <v>429400</v>
      </c>
      <c r="M64" s="427">
        <f ca="1">IFERROR(__xludf.DUMMYFUNCTION("IMPORTRANGE(""https://docs.google.com/spreadsheets/d/1-uDff_7J0KD5mKrp0Vvzr7lt3OU09vwQwhkpOPPYv2Y/edit?usp=sharing"",""งบพรบ!AH58"")"),323950)</f>
        <v>323950</v>
      </c>
      <c r="N64" s="427">
        <f ca="1">IFERROR(__xludf.DUMMYFUNCTION("IMPORTRANGE(""https://docs.google.com/spreadsheets/d/1-uDff_7J0KD5mKrp0Vvzr7lt3OU09vwQwhkpOPPYv2Y/edit?usp=sharing"",""งบพรบ!AJ58"")"),226965.59)</f>
        <v>226965.59</v>
      </c>
      <c r="O64" s="427">
        <f t="shared" ca="1" si="8"/>
        <v>52.856448532836517</v>
      </c>
      <c r="P64" s="427">
        <f t="shared" ca="1" si="9"/>
        <v>70.061920049390338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IFERROR(__xludf.DUMMYFUNCTION("IMPORTRANGE(""https://docs.google.com/spreadsheets/d/1-uDff_7J0KD5mKrp0Vvzr7lt3OU09vwQwhkpOPPYv2Y/edit?usp=sharing"",""งบพรบ!AF58"")"),0)</f>
        <v>0</v>
      </c>
      <c r="M67" s="624">
        <f ca="1">IFERROR(__xludf.DUMMYFUNCTION("IMPORTRANGE(""https://docs.google.com/spreadsheets/d/1-uDff_7J0KD5mKrp0Vvzr7lt3OU09vwQwhkpOPPYv2Y/edit?usp=sharing"",""งบพรบ!AI58"")"),0)</f>
        <v>0</v>
      </c>
      <c r="N67" s="624">
        <f ca="1">IFERROR(__xludf.DUMMYFUNCTION("IMPORTRANGE(""https://docs.google.com/spreadsheets/d/1-uDff_7J0KD5mKrp0Vvzr7lt3OU09vwQwhkpOPPYv2Y/edit?usp=sharing"",""งบพรบ!AK58"")"),0)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IFERROR(__xludf.DUMMYFUNCTION("IMPORTRANGE(""https://docs.google.com/spreadsheets/d/1-uDff_7J0KD5mKrp0Vvzr7lt3OU09vwQwhkpOPPYv2Y/edit?usp=sharing"",""งบพรบ!AM58"")"),0)</f>
        <v>0</v>
      </c>
      <c r="M77" s="427">
        <f ca="1">IFERROR(__xludf.DUMMYFUNCTION("IMPORTRANGE(""https://docs.google.com/spreadsheets/d/1-uDff_7J0KD5mKrp0Vvzr7lt3OU09vwQwhkpOPPYv2Y/edit?usp=sharing"",""งบพรบ!AR58"")"),0)</f>
        <v>0</v>
      </c>
      <c r="N77" s="427">
        <f ca="1">IFERROR(__xludf.DUMMYFUNCTION("IMPORTRANGE(""https://docs.google.com/spreadsheets/d/1-uDff_7J0KD5mKrp0Vvzr7lt3OU09vwQwhkpOPPYv2Y/edit?usp=sharing"",""งบพรบ!AT58"")"),0)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IFERROR(__xludf.DUMMYFUNCTION("IMPORTRANGE(""https://docs.google.com/spreadsheets/d/1-uDff_7J0KD5mKrp0Vvzr7lt3OU09vwQwhkpOPPYv2Y/edit?usp=sharing"",""งบพรบ!AP58"")"),0)</f>
        <v>0</v>
      </c>
      <c r="M80" s="427">
        <f ca="1">IFERROR(__xludf.DUMMYFUNCTION("IMPORTRANGE(""https://docs.google.com/spreadsheets/d/1-uDff_7J0KD5mKrp0Vvzr7lt3OU09vwQwhkpOPPYv2Y/edit?usp=sharing"",""งบพรบ!AS58"")"),0)</f>
        <v>0</v>
      </c>
      <c r="N80" s="427">
        <f ca="1">IFERROR(__xludf.DUMMYFUNCTION("IMPORTRANGE(""https://docs.google.com/spreadsheets/d/1-uDff_7J0KD5mKrp0Vvzr7lt3OU09vwQwhkpOPPYv2Y/edit?usp=sharing"",""งบพรบ!AU58"")"),0)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IFERROR(__xludf.DUMMYFUNCTION("IMPORTRANGE(""https://docs.google.com/spreadsheets/d/1eHaY18a8A9IcSdp1K8H6x8fbOy06t2VsZHhMHf-1x7Y/edit?usp=sharing"",""แผน!H58"")"),0)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IFERROR(__xludf.DUMMYFUNCTION("IMPORTRANGE(""https://docs.google.com/spreadsheets/d/1eHaY18a8A9IcSdp1K8H6x8fbOy06t2VsZHhMHf-1x7Y/edit?usp=sharing"",""แผน!I58"")"),0)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IFERROR(__xludf.DUMMYFUNCTION("IMPORTRANGE(""https://docs.google.com/spreadsheets/d/1eHaY18a8A9IcSdp1K8H6x8fbOy06t2VsZHhMHf-1x7Y/edit?usp=sharing"",""แผน!F58"")"),0)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IFERROR(__xludf.DUMMYFUNCTION("IMPORTRANGE(""https://docs.google.com/spreadsheets/d/1eHaY18a8A9IcSdp1K8H6x8fbOy06t2VsZHhMHf-1x7Y/edit?usp=sharing"",""แผน!G58"")"),0)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IFERROR(__xludf.DUMMYFUNCTION("IMPORTRANGE(""https://docs.google.com/spreadsheets/d/1eHaY18a8A9IcSdp1K8H6x8fbOy06t2VsZHhMHf-1x7Y/edit?usp=sharing"",""แผน!D58"")"),0)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IFERROR(__xludf.DUMMYFUNCTION("IMPORTRANGE(""https://docs.google.com/spreadsheets/d/1eHaY18a8A9IcSdp1K8H6x8fbOy06t2VsZHhMHf-1x7Y/edit?usp=sharing"",""แผน!E58"")"),0)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IFERROR(__xludf.DUMMYFUNCTION("IMPORTRANGE(""https://docs.google.com/spreadsheets/d/1eHaY18a8A9IcSdp1K8H6x8fbOy06t2VsZHhMHf-1x7Y/edit?usp=sharing"",""แผน!J58"")"),0)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IFERROR(__xludf.DUMMYFUNCTION("IMPORTRANGE(""https://docs.google.com/spreadsheets/d/1-uDff_7J0KD5mKrp0Vvzr7lt3OU09vwQwhkpOPPYv2Y/edit?usp=sharing"",""งบพรบ!AW58"")"),0)</f>
        <v>0</v>
      </c>
      <c r="M99" s="427">
        <f ca="1">IFERROR(__xludf.DUMMYFUNCTION("IMPORTRANGE(""https://docs.google.com/spreadsheets/d/1-uDff_7J0KD5mKrp0Vvzr7lt3OU09vwQwhkpOPPYv2Y/edit?usp=sharing"",""งบพรบ!BB58"")"),0)</f>
        <v>0</v>
      </c>
      <c r="N99" s="427">
        <f ca="1">IFERROR(__xludf.DUMMYFUNCTION("IMPORTRANGE(""https://docs.google.com/spreadsheets/d/1-uDff_7J0KD5mKrp0Vvzr7lt3OU09vwQwhkpOPPYv2Y/edit?usp=sharing"",""งบพรบ!BD58"")"),0)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IFERROR(__xludf.DUMMYFUNCTION("IMPORTRANGE(""https://docs.google.com/spreadsheets/d/1-uDff_7J0KD5mKrp0Vvzr7lt3OU09vwQwhkpOPPYv2Y/edit?usp=sharing"",""งบพรบ!AZ58"")"),0)</f>
        <v>0</v>
      </c>
      <c r="M102" s="427">
        <f ca="1">IFERROR(__xludf.DUMMYFUNCTION("IMPORTRANGE(""https://docs.google.com/spreadsheets/d/1-uDff_7J0KD5mKrp0Vvzr7lt3OU09vwQwhkpOPPYv2Y/edit?usp=sharing"",""งบพรบ!BC58"")"),0)</f>
        <v>0</v>
      </c>
      <c r="N102" s="427">
        <f ca="1">IFERROR(__xludf.DUMMYFUNCTION("IMPORTRANGE(""https://docs.google.com/spreadsheets/d/1-uDff_7J0KD5mKrp0Vvzr7lt3OU09vwQwhkpOPPYv2Y/edit?usp=sharing"",""งบพรบ!BE58"")"),0)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IFERROR(__xludf.DUMMYFUNCTION("IMPORTRANGE(""https://docs.google.com/spreadsheets/d/1eHaY18a8A9IcSdp1K8H6x8fbOy06t2VsZHhMHf-1x7Y/edit?usp=sharing"",""แผน!N58"")"),0)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IFERROR(__xludf.DUMMYFUNCTION("IMPORTRANGE(""https://docs.google.com/spreadsheets/d/1eHaY18a8A9IcSdp1K8H6x8fbOy06t2VsZHhMHf-1x7Y/edit?usp=sharing"",""แผน!O58"")"),0)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IFERROR(__xludf.DUMMYFUNCTION("IMPORTRANGE(""https://docs.google.com/spreadsheets/d/1eHaY18a8A9IcSdp1K8H6x8fbOy06t2VsZHhMHf-1x7Y/edit?usp=sharing"",""แผน!R58"")"),0)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IFERROR(__xludf.DUMMYFUNCTION("IMPORTRANGE(""https://docs.google.com/spreadsheets/d/1-uDff_7J0KD5mKrp0Vvzr7lt3OU09vwQwhkpOPPYv2Y/edit?usp=sharing"",""งบพรบ!BG58"")"),0)</f>
        <v>0</v>
      </c>
      <c r="M130" s="864">
        <f ca="1">IFERROR(__xludf.DUMMYFUNCTION("IMPORTRANGE(""https://docs.google.com/spreadsheets/d/1-uDff_7J0KD5mKrp0Vvzr7lt3OU09vwQwhkpOPPYv2Y/edit?usp=sharing"",""งบพรบ!BL58"")"),0)</f>
        <v>0</v>
      </c>
      <c r="N130" s="864">
        <f ca="1">IFERROR(__xludf.DUMMYFUNCTION("IMPORTRANGE(""https://docs.google.com/spreadsheets/d/1-uDff_7J0KD5mKrp0Vvzr7lt3OU09vwQwhkpOPPYv2Y/edit?usp=sharing"",""งบพรบ!BN58"")"),0)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IFERROR(__xludf.DUMMYFUNCTION("IMPORTRANGE(""https://docs.google.com/spreadsheets/d/1-uDff_7J0KD5mKrp0Vvzr7lt3OU09vwQwhkpOPPYv2Y/edit?usp=sharing"",""งบพรบ!BJ58"")"),0)</f>
        <v>0</v>
      </c>
      <c r="M133" s="864">
        <f ca="1">IFERROR(__xludf.DUMMYFUNCTION("IMPORTRANGE(""https://docs.google.com/spreadsheets/d/1-uDff_7J0KD5mKrp0Vvzr7lt3OU09vwQwhkpOPPYv2Y/edit?usp=sharing"",""งบพรบ!BM58"")"),0)</f>
        <v>0</v>
      </c>
      <c r="N133" s="864">
        <f ca="1">IFERROR(__xludf.DUMMYFUNCTION("IMPORTRANGE(""https://docs.google.com/spreadsheets/d/1-uDff_7J0KD5mKrp0Vvzr7lt3OU09vwQwhkpOPPYv2Y/edit?usp=sharing"",""งบพรบ!BO58"")"),0)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IFERROR(__xludf.DUMMYFUNCTION("IMPORTRANGE(""https://docs.google.com/spreadsheets/d/1-uDff_7J0KD5mKrp0Vvzr7lt3OU09vwQwhkpOPPYv2Y/edit?usp=sharing"",""งบพรบ!BQ58"")"),0)</f>
        <v>0</v>
      </c>
      <c r="M144" s="427">
        <f ca="1">IFERROR(__xludf.DUMMYFUNCTION("IMPORTRANGE(""https://docs.google.com/spreadsheets/d/1-uDff_7J0KD5mKrp0Vvzr7lt3OU09vwQwhkpOPPYv2Y/edit?usp=sharing"",""งบพรบ!BV58"")"),0)</f>
        <v>0</v>
      </c>
      <c r="N144" s="427">
        <f ca="1">IFERROR(__xludf.DUMMYFUNCTION("IMPORTRANGE(""https://docs.google.com/spreadsheets/d/1-uDff_7J0KD5mKrp0Vvzr7lt3OU09vwQwhkpOPPYv2Y/edit?usp=sharing"",""งบพรบ!BX58"")"),0)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IFERROR(__xludf.DUMMYFUNCTION("IMPORTRANGE(""https://docs.google.com/spreadsheets/d/1-uDff_7J0KD5mKrp0Vvzr7lt3OU09vwQwhkpOPPYv2Y/edit?usp=sharing"",""งบพรบ!BT58"")"),0)</f>
        <v>0</v>
      </c>
      <c r="M147" s="427">
        <f ca="1">IFERROR(__xludf.DUMMYFUNCTION("IMPORTRANGE(""https://docs.google.com/spreadsheets/d/1-uDff_7J0KD5mKrp0Vvzr7lt3OU09vwQwhkpOPPYv2Y/edit?usp=sharing"",""งบพรบ!BW58"")"),0)</f>
        <v>0</v>
      </c>
      <c r="N147" s="427">
        <f ca="1">IFERROR(__xludf.DUMMYFUNCTION("IMPORTRANGE(""https://docs.google.com/spreadsheets/d/1-uDff_7J0KD5mKrp0Vvzr7lt3OU09vwQwhkpOPPYv2Y/edit?usp=sharing"",""งบพรบ!BY58"")"),0)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IFERROR(__xludf.DUMMYFUNCTION("IMPORTRANGE(""https://docs.google.com/spreadsheets/d/1eHaY18a8A9IcSdp1K8H6x8fbOy06t2VsZHhMHf-1x7Y/edit?usp=sharing"",""แผน!U58"")"),0)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IFERROR(__xludf.DUMMYFUNCTION("IMPORTRANGE(""https://docs.google.com/spreadsheets/d/1eHaY18a8A9IcSdp1K8H6x8fbOy06t2VsZHhMHf-1x7Y/edit?usp=sharing"",""แผน!V58"")"),0)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IFERROR(__xludf.DUMMYFUNCTION("IMPORTRANGE(""https://docs.google.com/spreadsheets/d/1eHaY18a8A9IcSdp1K8H6x8fbOy06t2VsZHhMHf-1x7Y/edit?usp=sharing"",""แผน!W58"")"),0)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IFERROR(__xludf.DUMMYFUNCTION("IMPORTRANGE(""https://docs.google.com/spreadsheets/d/1eHaY18a8A9IcSdp1K8H6x8fbOy06t2VsZHhMHf-1x7Y/edit?usp=sharing"",""แผน!X58"")"),0)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IFERROR(__xludf.DUMMYFUNCTION("IMPORTRANGE(""https://docs.google.com/spreadsheets/d/1eHaY18a8A9IcSdp1K8H6x8fbOy06t2VsZHhMHf-1x7Y/edit?usp=sharing"",""แผน!Y58"")"),0)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IFERROR(__xludf.DUMMYFUNCTION("IMPORTRANGE(""https://docs.google.com/spreadsheets/d/1-uDff_7J0KD5mKrp0Vvzr7lt3OU09vwQwhkpOPPYv2Y/edit?usp=sharing"",""งบพรบ!CA58"")"),0)</f>
        <v>0</v>
      </c>
      <c r="M162" s="427">
        <f ca="1">IFERROR(__xludf.DUMMYFUNCTION("IMPORTRANGE(""https://docs.google.com/spreadsheets/d/1-uDff_7J0KD5mKrp0Vvzr7lt3OU09vwQwhkpOPPYv2Y/edit?usp=sharing"",""งบพรบ!CF58"")"),0)</f>
        <v>0</v>
      </c>
      <c r="N162" s="427">
        <f ca="1">IFERROR(__xludf.DUMMYFUNCTION("IMPORTRANGE(""https://docs.google.com/spreadsheets/d/1-uDff_7J0KD5mKrp0Vvzr7lt3OU09vwQwhkpOPPYv2Y/edit?usp=sharing"",""งบพรบ!CH58"")"),0)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IFERROR(__xludf.DUMMYFUNCTION("IMPORTRANGE(""https://docs.google.com/spreadsheets/d/1-uDff_7J0KD5mKrp0Vvzr7lt3OU09vwQwhkpOPPYv2Y/edit?usp=sharing"",""งบพรบ!CD58"")"),0)</f>
        <v>0</v>
      </c>
      <c r="M165" s="427">
        <f ca="1">IFERROR(__xludf.DUMMYFUNCTION("IMPORTRANGE(""https://docs.google.com/spreadsheets/d/1-uDff_7J0KD5mKrp0Vvzr7lt3OU09vwQwhkpOPPYv2Y/edit?usp=sharing"",""งบพรบ!CG58"")"),0)</f>
        <v>0</v>
      </c>
      <c r="N165" s="427">
        <f ca="1">IFERROR(__xludf.DUMMYFUNCTION("IMPORTRANGE(""https://docs.google.com/spreadsheets/d/1-uDff_7J0KD5mKrp0Vvzr7lt3OU09vwQwhkpOPPYv2Y/edit?usp=sharing"",""งบพรบ!CI58"")"),0)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IFERROR(__xludf.DUMMYFUNCTION("IMPORTRANGE(""https://docs.google.com/spreadsheets/d/1eHaY18a8A9IcSdp1K8H6x8fbOy06t2VsZHhMHf-1x7Y/edit?usp=sharing"",""แผน!Z58"")"),0)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IFERROR(__xludf.DUMMYFUNCTION("IMPORTRANGE(""https://docs.google.com/spreadsheets/d/1eHaY18a8A9IcSdp1K8H6x8fbOy06t2VsZHhMHf-1x7Y/edit?usp=sharing"",""แผน!Z58"")"),0)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IFERROR(__xludf.DUMMYFUNCTION("IMPORTRANGE(""https://docs.google.com/spreadsheets/d/1eHaY18a8A9IcSdp1K8H6x8fbOy06t2VsZHhMHf-1x7Y/edit?usp=sharing"",""แผน!Z58"")"),0)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7</v>
      </c>
      <c r="K172" s="828">
        <f ca="1">IF(I172&gt;0,J172*100/I172,0)</f>
        <v>100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19590</v>
      </c>
      <c r="O173" s="715">
        <f t="shared" ref="O173:O181" ca="1" si="27">IF(L173&gt;0,N173*100/L173,0)</f>
        <v>100</v>
      </c>
      <c r="P173" s="715">
        <f t="shared" ref="P173:P181" ca="1" si="28">IF(M173&gt;0,N173*100/M173,0)</f>
        <v>100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19590</v>
      </c>
      <c r="O175" s="427">
        <f t="shared" ca="1" si="27"/>
        <v>100</v>
      </c>
      <c r="P175" s="427">
        <f t="shared" ca="1" si="28"/>
        <v>100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t="shared" ca="1" si="27"/>
        <v>100</v>
      </c>
      <c r="P176" s="427">
        <f t="shared" ca="1" si="28"/>
        <v>100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IFERROR(__xludf.DUMMYFUNCTION("IMPORTRANGE(""https://docs.google.com/spreadsheets/d/1-uDff_7J0KD5mKrp0Vvzr7lt3OU09vwQwhkpOPPYv2Y/edit?usp=sharing"",""งบพรบ!CK58"")"),19590)</f>
        <v>19590</v>
      </c>
      <c r="M178" s="427">
        <f ca="1">IFERROR(__xludf.DUMMYFUNCTION("IMPORTRANGE(""https://docs.google.com/spreadsheets/d/1-uDff_7J0KD5mKrp0Vvzr7lt3OU09vwQwhkpOPPYv2Y/edit?usp=sharing"",""งบพรบ!CP58"")"),19590)</f>
        <v>19590</v>
      </c>
      <c r="N178" s="427">
        <f ca="1">IFERROR(__xludf.DUMMYFUNCTION("IMPORTRANGE(""https://docs.google.com/spreadsheets/d/1-uDff_7J0KD5mKrp0Vvzr7lt3OU09vwQwhkpOPPYv2Y/edit?usp=sharing"",""งบพรบ!CR58"")"),19590)</f>
        <v>19590</v>
      </c>
      <c r="O178" s="427">
        <f t="shared" ca="1" si="27"/>
        <v>100</v>
      </c>
      <c r="P178" s="427">
        <f t="shared" ca="1" si="28"/>
        <v>100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IFERROR(__xludf.DUMMYFUNCTION("IMPORTRANGE(""https://docs.google.com/spreadsheets/d/1-uDff_7J0KD5mKrp0Vvzr7lt3OU09vwQwhkpOPPYv2Y/edit?usp=sharing"",""งบพรบ!CN58"")"),0)</f>
        <v>0</v>
      </c>
      <c r="M181" s="427">
        <f ca="1">IFERROR(__xludf.DUMMYFUNCTION("IMPORTRANGE(""https://docs.google.com/spreadsheets/d/1-uDff_7J0KD5mKrp0Vvzr7lt3OU09vwQwhkpOPPYv2Y/edit?usp=sharing"",""งบพรบ!CQ58"")"),0)</f>
        <v>0</v>
      </c>
      <c r="N181" s="427">
        <f ca="1">IFERROR(__xludf.DUMMYFUNCTION("IMPORTRANGE(""https://docs.google.com/spreadsheets/d/1-uDff_7J0KD5mKrp0Vvzr7lt3OU09vwQwhkpOPPYv2Y/edit?usp=sharing"",""งบพรบ!CS58"")"),0)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IFERROR(__xludf.DUMMYFUNCTION("IMPORTRANGE(""https://docs.google.com/spreadsheets/d/1eHaY18a8A9IcSdp1K8H6x8fbOy06t2VsZHhMHf-1x7Y/edit?usp=sharing"",""แผน!AA58"")"),7)</f>
        <v>7</v>
      </c>
      <c r="J183" s="736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111200</v>
      </c>
      <c r="M186" s="715">
        <f ca="1">M187+M188</f>
        <v>75500</v>
      </c>
      <c r="N186" s="715">
        <f ca="1">N187+N188</f>
        <v>57430</v>
      </c>
      <c r="O186" s="715">
        <f t="shared" ref="O186:O194" ca="1" si="30">IF(L186&gt;0,N186*100/L186,0)</f>
        <v>51.64568345323741</v>
      </c>
      <c r="P186" s="715">
        <f t="shared" ref="P186:P194" ca="1" si="31">IF(M186&gt;0,N186*100/M186,0)</f>
        <v>76.066225165562912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111200</v>
      </c>
      <c r="M188" s="427">
        <f t="shared" ca="1" si="32"/>
        <v>75500</v>
      </c>
      <c r="N188" s="427">
        <f t="shared" ca="1" si="32"/>
        <v>57430</v>
      </c>
      <c r="O188" s="427">
        <f t="shared" ca="1" si="30"/>
        <v>51.64568345323741</v>
      </c>
      <c r="P188" s="427">
        <f t="shared" ca="1" si="31"/>
        <v>76.066225165562912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111200</v>
      </c>
      <c r="M189" s="427">
        <f ca="1">M190+M191</f>
        <v>75500</v>
      </c>
      <c r="N189" s="427">
        <f ca="1">N190+N191</f>
        <v>57430</v>
      </c>
      <c r="O189" s="427">
        <f t="shared" ca="1" si="30"/>
        <v>51.64568345323741</v>
      </c>
      <c r="P189" s="427">
        <f t="shared" ca="1" si="31"/>
        <v>76.066225165562912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IFERROR(__xludf.DUMMYFUNCTION("IMPORTRANGE(""https://docs.google.com/spreadsheets/d/1-uDff_7J0KD5mKrp0Vvzr7lt3OU09vwQwhkpOPPYv2Y/edit?usp=sharing"",""งบพรบ!CU58"")"),111200)</f>
        <v>111200</v>
      </c>
      <c r="M191" s="427">
        <f ca="1">IFERROR(__xludf.DUMMYFUNCTION("IMPORTRANGE(""https://docs.google.com/spreadsheets/d/1-uDff_7J0KD5mKrp0Vvzr7lt3OU09vwQwhkpOPPYv2Y/edit?usp=sharing"",""งบพรบ!CZ58"")"),75500)</f>
        <v>75500</v>
      </c>
      <c r="N191" s="427">
        <f ca="1">IFERROR(__xludf.DUMMYFUNCTION("IMPORTRANGE(""https://docs.google.com/spreadsheets/d/1-uDff_7J0KD5mKrp0Vvzr7lt3OU09vwQwhkpOPPYv2Y/edit?usp=sharing"",""งบพรบ!DB58"")"),57430)</f>
        <v>57430</v>
      </c>
      <c r="O191" s="427">
        <f t="shared" ca="1" si="30"/>
        <v>51.64568345323741</v>
      </c>
      <c r="P191" s="427">
        <f t="shared" ca="1" si="31"/>
        <v>76.066225165562912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IFERROR(__xludf.DUMMYFUNCTION("IMPORTRANGE(""https://docs.google.com/spreadsheets/d/1-uDff_7J0KD5mKrp0Vvzr7lt3OU09vwQwhkpOPPYv2Y/edit?usp=sharing"",""งบพรบ!CX58"")"),0)</f>
        <v>0</v>
      </c>
      <c r="M194" s="427">
        <f ca="1">IFERROR(__xludf.DUMMYFUNCTION("IMPORTRANGE(""https://docs.google.com/spreadsheets/d/1-uDff_7J0KD5mKrp0Vvzr7lt3OU09vwQwhkpOPPYv2Y/edit?usp=sharing"",""งบพรบ!DA58"")"),0)</f>
        <v>0</v>
      </c>
      <c r="N194" s="427">
        <f ca="1">IFERROR(__xludf.DUMMYFUNCTION("IMPORTRANGE(""https://docs.google.com/spreadsheets/d/1-uDff_7J0KD5mKrp0Vvzr7lt3OU09vwQwhkpOPPYv2Y/edit?usp=sharing"",""งบพรบ!DC58"")"),0)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IFERROR(__xludf.DUMMYFUNCTION("IMPORTRANGE(""https://docs.google.com/spreadsheets/d/1eHaY18a8A9IcSdp1K8H6x8fbOy06t2VsZHhMHf-1x7Y/edit?usp=sharing"",""แผน!AB58"")"),6000)</f>
        <v>6000</v>
      </c>
      <c r="M196" s="430"/>
      <c r="N196" s="827">
        <v>3000</v>
      </c>
      <c r="O196" s="715">
        <f ca="1">IF(L196&gt;0,N196*100/L196,0)</f>
        <v>50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IFERROR(__xludf.DUMMYFUNCTION("IMPORTRANGE(""https://docs.google.com/spreadsheets/d/1eHaY18a8A9IcSdp1K8H6x8fbOy06t2VsZHhMHf-1x7Y/edit?usp=sharing"",""แผน!AE58"")"),4)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39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39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8000</v>
      </c>
      <c r="O203" s="715">
        <f ca="1">IF(L203&gt;0,N203*100/L203,0)</f>
        <v>61.53846153846154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IFERROR(__xludf.DUMMYFUNCTION("IMPORTRANGE(""https://docs.google.com/spreadsheets/d/1eHaY18a8A9IcSdp1K8H6x8fbOy06t2VsZHhMHf-1x7Y/edit?usp=sharing"",""แผน!AG58"")"),1000)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IFERROR(__xludf.DUMMYFUNCTION("IMPORTRANGE(""https://docs.google.com/spreadsheets/d/1eHaY18a8A9IcSdp1K8H6x8fbOy06t2VsZHhMHf-1x7Y/edit?usp=sharing"",""แผน!AH58"")"),0)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IFERROR(__xludf.DUMMYFUNCTION("IMPORTRANGE(""https://docs.google.com/spreadsheets/d/1eHaY18a8A9IcSdp1K8H6x8fbOy06t2VsZHhMHf-1x7Y/edit?usp=sharing"",""แผน!AI58"")"),8000)</f>
        <v>8000</v>
      </c>
      <c r="M206" s="430"/>
      <c r="N206" s="818">
        <v>8000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IFERROR(__xludf.DUMMYFUNCTION("IMPORTRANGE(""https://docs.google.com/spreadsheets/d/1eHaY18a8A9IcSdp1K8H6x8fbOy06t2VsZHhMHf-1x7Y/edit?usp=sharing"",""แผน!AJ58"")"),4000)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IFERROR(__xludf.DUMMYFUNCTION("IMPORTRANGE(""https://docs.google.com/spreadsheets/d/1eHaY18a8A9IcSdp1K8H6x8fbOy06t2VsZHhMHf-1x7Y/edit?usp=sharing"",""แผน!AK58"")"),1)</f>
        <v>1</v>
      </c>
      <c r="J209" s="736">
        <v>1</v>
      </c>
      <c r="K209" s="767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IFERROR(__xludf.DUMMYFUNCTION("IMPORTRANGE(""https://docs.google.com/spreadsheets/d/1eHaY18a8A9IcSdp1K8H6x8fbOy06t2VsZHhMHf-1x7Y/edit?usp=sharing"",""แผน!JX58"")"),1)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IFERROR(__xludf.DUMMYFUNCTION("IMPORTRANGE(""https://docs.google.com/spreadsheets/d/1eHaY18a8A9IcSdp1K8H6x8fbOy06t2VsZHhMHf-1x7Y/edit?usp=sharing"",""แผน!JY58"")"),0)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1</v>
      </c>
      <c r="J213" s="440">
        <f>J220</f>
        <v>1</v>
      </c>
      <c r="K213" s="441">
        <f ca="1">IF(I213&gt;0,J213*100/I213,0)</f>
        <v>100</v>
      </c>
      <c r="L213" s="555"/>
      <c r="M213" s="555"/>
      <c r="N213" s="555"/>
      <c r="O213" s="555"/>
      <c r="P213" s="555"/>
    </row>
    <row r="214" spans="1:16" ht="19.5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14000</v>
      </c>
      <c r="M214" s="430"/>
      <c r="N214" s="715">
        <f>N215+N216+N217</f>
        <v>8240</v>
      </c>
      <c r="O214" s="715">
        <f ca="1">IF(L214&gt;0,N214*100/L214,0)</f>
        <v>58.857142857142854</v>
      </c>
      <c r="P214" s="715">
        <f>IF(M214&gt;0,N214*100/M214,0)</f>
        <v>0</v>
      </c>
    </row>
    <row r="215" spans="1:16" ht="18.75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IFERROR(__xludf.DUMMYFUNCTION("IMPORTRANGE(""https://docs.google.com/spreadsheets/d/1eHaY18a8A9IcSdp1K8H6x8fbOy06t2VsZHhMHf-1x7Y/edit?usp=sharing"",""แผน!AM58"")"),1000)</f>
        <v>1000</v>
      </c>
      <c r="M215" s="430"/>
      <c r="N215" s="818">
        <v>240</v>
      </c>
      <c r="O215" s="678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IFERROR(__xludf.DUMMYFUNCTION("IMPORTRANGE(""https://docs.google.com/spreadsheets/d/1eHaY18a8A9IcSdp1K8H6x8fbOy06t2VsZHhMHf-1x7Y/edit?usp=sharing"",""แผน!AN58"")"),5000)</f>
        <v>5000</v>
      </c>
      <c r="M216" s="430"/>
      <c r="N216" s="818">
        <v>0</v>
      </c>
      <c r="O216" s="678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IFERROR(__xludf.DUMMYFUNCTION("IMPORTRANGE(""https://docs.google.com/spreadsheets/d/1eHaY18a8A9IcSdp1K8H6x8fbOy06t2VsZHhMHf-1x7Y/edit?usp=sharing"",""แผน!AO58"")"),8000)</f>
        <v>8000</v>
      </c>
      <c r="M217" s="430"/>
      <c r="N217" s="818">
        <v>8000</v>
      </c>
      <c r="O217" s="678"/>
      <c r="P217" s="430"/>
    </row>
    <row r="218" spans="1:16" ht="19.5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IFERROR(__xludf.DUMMYFUNCTION("IMPORTRANGE(""https://docs.google.com/spreadsheets/d/1eHaY18a8A9IcSdp1K8H6x8fbOy06t2VsZHhMHf-1x7Y/edit?usp=sharing"",""แผน!AP58"")"),1)</f>
        <v>1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IFERROR(__xludf.DUMMYFUNCTION("IMPORTRANGE(""https://docs.google.com/spreadsheets/d/1eHaY18a8A9IcSdp1K8H6x8fbOy06t2VsZHhMHf-1x7Y/edit?usp=sharing"",""แผน!AP58"")"),1)</f>
        <v>1</v>
      </c>
      <c r="J220" s="736">
        <v>1</v>
      </c>
      <c r="K220" s="427">
        <f ca="1">IF(I220&gt;0,J220*100/I220,0)</f>
        <v>100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3200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IFERROR(__xludf.DUMMYFUNCTION("IMPORTRANGE(""https://docs.google.com/spreadsheets/d/1eHaY18a8A9IcSdp1K8H6x8fbOy06t2VsZHhMHf-1x7Y/edit?usp=sharing"",""แผน!AR58"")"),3000)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IFERROR(__xludf.DUMMYFUNCTION("IMPORTRANGE(""https://docs.google.com/spreadsheets/d/1eHaY18a8A9IcSdp1K8H6x8fbOy06t2VsZHhMHf-1x7Y/edit?usp=sharing"",""แผน!AS58"")"),1500)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IFERROR(__xludf.DUMMYFUNCTION("IMPORTRANGE(""https://docs.google.com/spreadsheets/d/1eHaY18a8A9IcSdp1K8H6x8fbOy06t2VsZHhMHf-1x7Y/edit?usp=sharing"",""แผน!AT58"")"),0)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IFERROR(__xludf.DUMMYFUNCTION("IMPORTRANGE(""https://docs.google.com/spreadsheets/d/1eHaY18a8A9IcSdp1K8H6x8fbOy06t2VsZHhMHf-1x7Y/edit?usp=sharing"",""แผน!AV58"")"),3200)</f>
        <v>3200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IFERROR(__xludf.DUMMYFUNCTION("IMPORTRANGE(""https://docs.google.com/spreadsheets/d/1eHaY18a8A9IcSdp1K8H6x8fbOy06t2VsZHhMHf-1x7Y/edit?usp=sharing"",""แผน!AV58"")"),3200)</f>
        <v>3200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IFERROR(__xludf.DUMMYFUNCTION("IMPORTRANGE(""https://docs.google.com/spreadsheets/d/1eHaY18a8A9IcSdp1K8H6x8fbOy06t2VsZHhMHf-1x7Y/edit?usp=sharing"",""แผน!AU58"")"),0)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21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55"/>
      <c r="M231" s="555"/>
      <c r="N231" s="555"/>
      <c r="O231" s="555"/>
      <c r="P231" s="555"/>
    </row>
    <row r="232" spans="1:16" ht="19.5" hidden="1" x14ac:dyDescent="0.3">
      <c r="A232" s="684"/>
      <c r="B232" s="421"/>
      <c r="C232" s="711" t="s">
        <v>16</v>
      </c>
      <c r="D232" s="717" t="s">
        <v>17</v>
      </c>
      <c r="E232" s="420"/>
      <c r="F232" s="420"/>
      <c r="G232" s="424"/>
      <c r="H232" s="819" t="s">
        <v>12</v>
      </c>
      <c r="I232" s="679"/>
      <c r="J232" s="679"/>
      <c r="K232" s="678"/>
      <c r="L232" s="715">
        <f ca="1">L243+L254</f>
        <v>0</v>
      </c>
      <c r="M232" s="430"/>
      <c r="N232" s="715">
        <f>N243+N254</f>
        <v>0</v>
      </c>
      <c r="O232" s="430"/>
      <c r="P232" s="430"/>
    </row>
    <row r="233" spans="1:16" ht="18.75" hidden="1" x14ac:dyDescent="0.25">
      <c r="A233" s="684"/>
      <c r="B233" s="421"/>
      <c r="C233" s="421"/>
      <c r="D233" s="729" t="s">
        <v>80</v>
      </c>
      <c r="E233" s="420"/>
      <c r="F233" s="420"/>
      <c r="G233" s="424"/>
      <c r="H233" s="714" t="s">
        <v>12</v>
      </c>
      <c r="I233" s="679"/>
      <c r="J233" s="679"/>
      <c r="K233" s="678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29" t="s">
        <v>82</v>
      </c>
      <c r="E234" s="420"/>
      <c r="F234" s="420"/>
      <c r="G234" s="424"/>
      <c r="H234" s="714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29" t="s">
        <v>100</v>
      </c>
      <c r="E235" s="420"/>
      <c r="F235" s="420"/>
      <c r="G235" s="424"/>
      <c r="H235" s="714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14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683"/>
      <c r="B237" s="432"/>
      <c r="C237" s="711" t="s">
        <v>16</v>
      </c>
      <c r="D237" s="737" t="s">
        <v>36</v>
      </c>
      <c r="E237" s="682"/>
      <c r="F237" s="682"/>
      <c r="G237" s="681"/>
      <c r="H237" s="708"/>
      <c r="I237" s="679"/>
      <c r="J237" s="429"/>
      <c r="K237" s="430"/>
      <c r="L237" s="430"/>
      <c r="M237" s="430"/>
      <c r="N237" s="430"/>
      <c r="O237" s="678"/>
      <c r="P237" s="678"/>
    </row>
    <row r="238" spans="1:16" ht="18.75" hidden="1" x14ac:dyDescent="0.25">
      <c r="A238" s="683"/>
      <c r="B238" s="432"/>
      <c r="C238" s="432"/>
      <c r="D238" s="423" t="s">
        <v>102</v>
      </c>
      <c r="E238" s="422"/>
      <c r="F238" s="422"/>
      <c r="G238" s="680"/>
      <c r="H238" s="705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683"/>
      <c r="B239" s="432"/>
      <c r="C239" s="432"/>
      <c r="D239" s="709" t="s">
        <v>41</v>
      </c>
      <c r="E239" s="422"/>
      <c r="F239" s="422"/>
      <c r="G239" s="680"/>
      <c r="H239" s="708"/>
      <c r="I239" s="429"/>
      <c r="J239" s="429"/>
      <c r="K239" s="430"/>
      <c r="L239" s="430"/>
      <c r="M239" s="430"/>
      <c r="N239" s="430"/>
      <c r="O239" s="678"/>
      <c r="P239" s="678"/>
    </row>
    <row r="240" spans="1:16" ht="18.75" hidden="1" x14ac:dyDescent="0.25">
      <c r="A240" s="683"/>
      <c r="B240" s="432"/>
      <c r="C240" s="432"/>
      <c r="D240" s="432"/>
      <c r="E240" s="706" t="s">
        <v>103</v>
      </c>
      <c r="F240" s="422"/>
      <c r="G240" s="680"/>
      <c r="H240" s="705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683"/>
      <c r="B241" s="432"/>
      <c r="C241" s="432"/>
      <c r="D241" s="432"/>
      <c r="E241" s="706" t="s">
        <v>104</v>
      </c>
      <c r="F241" s="422"/>
      <c r="G241" s="680"/>
      <c r="H241" s="705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15" t="s">
        <v>105</v>
      </c>
      <c r="D242" s="435"/>
      <c r="E242" s="435"/>
      <c r="F242" s="435"/>
      <c r="G242" s="438"/>
      <c r="H242" s="594" t="s">
        <v>33</v>
      </c>
      <c r="I242" s="593">
        <f ca="1">I249</f>
        <v>0</v>
      </c>
      <c r="J242" s="593">
        <f>J249</f>
        <v>0</v>
      </c>
      <c r="K242" s="592">
        <f ca="1">IF(I242&gt;0,J242*100/I242,0)</f>
        <v>0</v>
      </c>
      <c r="L242" s="555"/>
      <c r="M242" s="555"/>
      <c r="N242" s="555"/>
      <c r="O242" s="555"/>
      <c r="P242" s="555"/>
    </row>
    <row r="243" spans="1:16" ht="19.5" hidden="1" x14ac:dyDescent="0.3">
      <c r="A243" s="684"/>
      <c r="B243" s="421"/>
      <c r="C243" s="587" t="s">
        <v>16</v>
      </c>
      <c r="D243" s="527" t="s">
        <v>17</v>
      </c>
      <c r="E243" s="420"/>
      <c r="F243" s="420"/>
      <c r="G243" s="424"/>
      <c r="H243" s="589" t="s">
        <v>12</v>
      </c>
      <c r="I243" s="679"/>
      <c r="J243" s="679"/>
      <c r="K243" s="678"/>
      <c r="L243" s="525">
        <f ca="1">L244+L245+L246+L247</f>
        <v>0</v>
      </c>
      <c r="M243" s="430"/>
      <c r="N243" s="525">
        <f>N244+N245+N246+N247</f>
        <v>0</v>
      </c>
      <c r="O243" s="525">
        <f ca="1">IF(L243&gt;0,N243*100/L243,0)</f>
        <v>0</v>
      </c>
      <c r="P243" s="525">
        <f>IF(M243&gt;0,N243*100/M243,0)</f>
        <v>0</v>
      </c>
    </row>
    <row r="244" spans="1:16" ht="18.75" hidden="1" x14ac:dyDescent="0.25">
      <c r="A244" s="684"/>
      <c r="B244" s="421"/>
      <c r="C244" s="421"/>
      <c r="D244" s="603" t="s">
        <v>80</v>
      </c>
      <c r="E244" s="420"/>
      <c r="F244" s="420"/>
      <c r="G244" s="424"/>
      <c r="H244" s="522" t="s">
        <v>12</v>
      </c>
      <c r="I244" s="679"/>
      <c r="J244" s="679"/>
      <c r="K244" s="678"/>
      <c r="L244" s="502">
        <f ca="1">IFERROR(__xludf.DUMMYFUNCTION("IMPORTRANGE(""https://docs.google.com/spreadsheets/d/1eHaY18a8A9IcSdp1K8H6x8fbOy06t2VsZHhMHf-1x7Y/edit?usp=sharing"",""แผน!AX58"")"),0)</f>
        <v>0</v>
      </c>
      <c r="M244" s="430"/>
      <c r="N244" s="58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03" t="s">
        <v>82</v>
      </c>
      <c r="E245" s="420"/>
      <c r="F245" s="420"/>
      <c r="G245" s="424"/>
      <c r="H245" s="522" t="s">
        <v>12</v>
      </c>
      <c r="I245" s="429"/>
      <c r="J245" s="429"/>
      <c r="K245" s="430"/>
      <c r="L245" s="502">
        <f ca="1">IFERROR(__xludf.DUMMYFUNCTION("IMPORTRANGE(""https://docs.google.com/spreadsheets/d/1eHaY18a8A9IcSdp1K8H6x8fbOy06t2VsZHhMHf-1x7Y/edit?usp=sharing"",""แผน!AY58"")"),0)</f>
        <v>0</v>
      </c>
      <c r="M245" s="430"/>
      <c r="N245" s="58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03" t="s">
        <v>100</v>
      </c>
      <c r="E246" s="420"/>
      <c r="F246" s="420"/>
      <c r="G246" s="424"/>
      <c r="H246" s="522" t="s">
        <v>12</v>
      </c>
      <c r="I246" s="429"/>
      <c r="J246" s="429"/>
      <c r="K246" s="430"/>
      <c r="L246" s="502">
        <f ca="1">IFERROR(__xludf.DUMMYFUNCTION("IMPORTRANGE(""https://docs.google.com/spreadsheets/d/1eHaY18a8A9IcSdp1K8H6x8fbOy06t2VsZHhMHf-1x7Y/edit?usp=sharing"",""แผน!AZ58"")"),0)</f>
        <v>0</v>
      </c>
      <c r="M246" s="430"/>
      <c r="N246" s="58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20" t="s">
        <v>101</v>
      </c>
      <c r="E247" s="420"/>
      <c r="F247" s="420"/>
      <c r="G247" s="424"/>
      <c r="H247" s="522" t="s">
        <v>12</v>
      </c>
      <c r="I247" s="429"/>
      <c r="J247" s="429"/>
      <c r="K247" s="430"/>
      <c r="L247" s="502">
        <f ca="1">IFERROR(__xludf.DUMMYFUNCTION("IMPORTRANGE(""https://docs.google.com/spreadsheets/d/1eHaY18a8A9IcSdp1K8H6x8fbOy06t2VsZHhMHf-1x7Y/edit?usp=sharing"",""แผน!BA58"")"),0)</f>
        <v>0</v>
      </c>
      <c r="M247" s="430"/>
      <c r="N247" s="588">
        <v>0</v>
      </c>
      <c r="O247" s="430"/>
      <c r="P247" s="430"/>
    </row>
    <row r="248" spans="1:16" ht="19.5" hidden="1" x14ac:dyDescent="0.3">
      <c r="A248" s="683"/>
      <c r="B248" s="432"/>
      <c r="C248" s="587" t="s">
        <v>16</v>
      </c>
      <c r="D248" s="516" t="s">
        <v>36</v>
      </c>
      <c r="E248" s="682"/>
      <c r="F248" s="682"/>
      <c r="G248" s="681"/>
      <c r="H248" s="708"/>
      <c r="I248" s="679"/>
      <c r="J248" s="429"/>
      <c r="K248" s="430"/>
      <c r="L248" s="430"/>
      <c r="M248" s="430"/>
      <c r="N248" s="430"/>
      <c r="O248" s="678"/>
      <c r="P248" s="678"/>
    </row>
    <row r="249" spans="1:16" ht="18.75" hidden="1" x14ac:dyDescent="0.25">
      <c r="A249" s="683"/>
      <c r="B249" s="432"/>
      <c r="C249" s="432"/>
      <c r="D249" s="508" t="s">
        <v>102</v>
      </c>
      <c r="E249" s="422"/>
      <c r="F249" s="422"/>
      <c r="G249" s="680"/>
      <c r="H249" s="519" t="s">
        <v>33</v>
      </c>
      <c r="I249" s="201">
        <f ca="1">IFERROR(__xludf.DUMMYFUNCTION("IMPORTRANGE(""https://docs.google.com/spreadsheets/d/1eHaY18a8A9IcSdp1K8H6x8fbOy06t2VsZHhMHf-1x7Y/edit?usp=sharing"",""แผน!BG58"")"),0)</f>
        <v>0</v>
      </c>
      <c r="J249" s="503">
        <v>0</v>
      </c>
      <c r="K249" s="50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683"/>
      <c r="B250" s="432"/>
      <c r="C250" s="432"/>
      <c r="D250" s="586" t="s">
        <v>41</v>
      </c>
      <c r="E250" s="422"/>
      <c r="F250" s="422"/>
      <c r="G250" s="680"/>
      <c r="H250" s="708"/>
      <c r="I250" s="429"/>
      <c r="J250" s="429"/>
      <c r="K250" s="430"/>
      <c r="L250" s="430"/>
      <c r="M250" s="430"/>
      <c r="N250" s="430"/>
      <c r="O250" s="678"/>
      <c r="P250" s="678"/>
    </row>
    <row r="251" spans="1:16" ht="18.75" hidden="1" x14ac:dyDescent="0.25">
      <c r="A251" s="683"/>
      <c r="B251" s="432"/>
      <c r="C251" s="432"/>
      <c r="D251" s="432"/>
      <c r="E251" s="585" t="s">
        <v>103</v>
      </c>
      <c r="F251" s="422"/>
      <c r="G251" s="680"/>
      <c r="H251" s="519" t="s">
        <v>33</v>
      </c>
      <c r="I251" s="201">
        <v>0</v>
      </c>
      <c r="J251" s="503">
        <v>0</v>
      </c>
      <c r="K251" s="50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683"/>
      <c r="B252" s="432"/>
      <c r="C252" s="432"/>
      <c r="D252" s="432"/>
      <c r="E252" s="585" t="s">
        <v>104</v>
      </c>
      <c r="F252" s="422"/>
      <c r="G252" s="680"/>
      <c r="H252" s="519" t="s">
        <v>54</v>
      </c>
      <c r="I252" s="201">
        <v>0</v>
      </c>
      <c r="J252" s="503">
        <v>0</v>
      </c>
      <c r="K252" s="50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603" t="s">
        <v>80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IFERROR(__xludf.DUMMYFUNCTION("IMPORTRANGE(""https://docs.google.com/spreadsheets/d/1eHaY18a8A9IcSdp1K8H6x8fbOy06t2VsZHhMHf-1x7Y/edit?usp=sharing"",""แผน!BB58"")"),0)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03" t="s">
        <v>82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IFERROR(__xludf.DUMMYFUNCTION("IMPORTRANGE(""https://docs.google.com/spreadsheets/d/1eHaY18a8A9IcSdp1K8H6x8fbOy06t2VsZHhMHf-1x7Y/edit?usp=sharing"",""แผน!BC58"")"),0)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03" t="s">
        <v>100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IFERROR(__xludf.DUMMYFUNCTION("IMPORTRANGE(""https://docs.google.com/spreadsheets/d/1eHaY18a8A9IcSdp1K8H6x8fbOy06t2VsZHhMHf-1x7Y/edit?usp=sharing"",""แผน!BD58"")"),0)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20" t="s">
        <v>101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IFERROR(__xludf.DUMMYFUNCTION("IMPORTRANGE(""https://docs.google.com/spreadsheets/d/1eHaY18a8A9IcSdp1K8H6x8fbOy06t2VsZHhMHf-1x7Y/edit?usp=sharing"",""แผน!BE58"")"),0)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IFERROR(__xludf.DUMMYFUNCTION("IMPORTRANGE(""https://docs.google.com/spreadsheets/d/1eHaY18a8A9IcSdp1K8H6x8fbOy06t2VsZHhMHf-1x7Y/edit?usp=sharing"",""แผน!BH58"")"),0)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IFERROR(__xludf.DUMMYFUNCTION("IMPORTRANGE(""https://docs.google.com/spreadsheets/d/1-uDff_7J0KD5mKrp0Vvzr7lt3OU09vwQwhkpOPPYv2Y/edit?usp=sharing"",""งบพรบ!DE58"")"),0)</f>
        <v>0</v>
      </c>
      <c r="M271" s="502">
        <f ca="1">IFERROR(__xludf.DUMMYFUNCTION("IMPORTRANGE(""https://docs.google.com/spreadsheets/d/1-uDff_7J0KD5mKrp0Vvzr7lt3OU09vwQwhkpOPPYv2Y/edit?usp=sharing"",""งบพรบ!DJ58"")"),0)</f>
        <v>0</v>
      </c>
      <c r="N271" s="502">
        <f ca="1">IFERROR(__xludf.DUMMYFUNCTION("IMPORTRANGE(""https://docs.google.com/spreadsheets/d/1-uDff_7J0KD5mKrp0Vvzr7lt3OU09vwQwhkpOPPYv2Y/edit?usp=sharing"",""งบพรบ!DL58"")"),0)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IFERROR(__xludf.DUMMYFUNCTION("IMPORTRANGE(""https://docs.google.com/spreadsheets/d/1-uDff_7J0KD5mKrp0Vvzr7lt3OU09vwQwhkpOPPYv2Y/edit?usp=sharing"",""งบพรบ!DH58"")"),0)</f>
        <v>0</v>
      </c>
      <c r="M274" s="502">
        <f ca="1">IFERROR(__xludf.DUMMYFUNCTION("IMPORTRANGE(""https://docs.google.com/spreadsheets/d/1-uDff_7J0KD5mKrp0Vvzr7lt3OU09vwQwhkpOPPYv2Y/edit?usp=sharing"",""งบพรบ!DK58"")"),0)</f>
        <v>0</v>
      </c>
      <c r="N274" s="502">
        <f ca="1">IFERROR(__xludf.DUMMYFUNCTION("IMPORTRANGE(""https://docs.google.com/spreadsheets/d/1-uDff_7J0KD5mKrp0Vvzr7lt3OU09vwQwhkpOPPYv2Y/edit?usp=sharing"",""งบพรบ!DM58"")"),0)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IFERROR(__xludf.DUMMYFUNCTION("IMPORTRANGE(""https://docs.google.com/spreadsheets/d/1-uDff_7J0KD5mKrp0Vvzr7lt3OU09vwQwhkpOPPYv2Y/edit?usp=sharing"",""งบพรบ!DO58"")"),0)</f>
        <v>0</v>
      </c>
      <c r="M287" s="427">
        <f ca="1">IFERROR(__xludf.DUMMYFUNCTION("IMPORTRANGE(""https://docs.google.com/spreadsheets/d/1-uDff_7J0KD5mKrp0Vvzr7lt3OU09vwQwhkpOPPYv2Y/edit?usp=sharing"",""งบพรบ!DT58"")"),0)</f>
        <v>0</v>
      </c>
      <c r="N287" s="427">
        <f ca="1">IFERROR(__xludf.DUMMYFUNCTION("IMPORTRANGE(""https://docs.google.com/spreadsheets/d/1-uDff_7J0KD5mKrp0Vvzr7lt3OU09vwQwhkpOPPYv2Y/edit?usp=sharing"",""งบพรบ!DV58"")"),0)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IFERROR(__xludf.DUMMYFUNCTION("IMPORTRANGE(""https://docs.google.com/spreadsheets/d/1-uDff_7J0KD5mKrp0Vvzr7lt3OU09vwQwhkpOPPYv2Y/edit?usp=sharing"",""งบพรบ!DR58"")"),0)</f>
        <v>0</v>
      </c>
      <c r="M290" s="427">
        <f ca="1">IFERROR(__xludf.DUMMYFUNCTION("IMPORTRANGE(""https://docs.google.com/spreadsheets/d/1-uDff_7J0KD5mKrp0Vvzr7lt3OU09vwQwhkpOPPYv2Y/edit?usp=sharing"",""งบพรบ!DU58"")"),0)</f>
        <v>0</v>
      </c>
      <c r="N290" s="427">
        <f ca="1">IFERROR(__xludf.DUMMYFUNCTION("IMPORTRANGE(""https://docs.google.com/spreadsheets/d/1-uDff_7J0KD5mKrp0Vvzr7lt3OU09vwQwhkpOPPYv2Y/edit?usp=sharing"",""งบพรบ!DW58"")"),0)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IFERROR(__xludf.DUMMYFUNCTION("IMPORTRANGE(""https://docs.google.com/spreadsheets/d/1eHaY18a8A9IcSdp1K8H6x8fbOy06t2VsZHhMHf-1x7Y/edit?usp=sharing"",""แผน!EE58"")"),0)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IFERROR(__xludf.DUMMYFUNCTION("IMPORTRANGE(""https://docs.google.com/spreadsheets/d/1eHaY18a8A9IcSdp1K8H6x8fbOy06t2VsZHhMHf-1x7Y/edit?usp=sharing"",""แผน!ED58"")"),0)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IFERROR(__xludf.DUMMYFUNCTION("IMPORTRANGE(""https://docs.google.com/spreadsheets/d/1eHaY18a8A9IcSdp1K8H6x8fbOy06t2VsZHhMHf-1x7Y/edit?usp=sharing"",""แผน!ED58"")"),0)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IFERROR(__xludf.DUMMYFUNCTION("IMPORTRANGE(""https://docs.google.com/spreadsheets/d/1eHaY18a8A9IcSdp1K8H6x8fbOy06t2VsZHhMHf-1x7Y/edit?usp=sharing"",""แผน!ED58"")"),0)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IFERROR(__xludf.DUMMYFUNCTION("IMPORTRANGE(""https://docs.google.com/spreadsheets/d/1-uDff_7J0KD5mKrp0Vvzr7lt3OU09vwQwhkpOPPYv2Y/edit?usp=sharing"",""งบพรบ!DY58"")"),0)</f>
        <v>0</v>
      </c>
      <c r="M308" s="427">
        <f ca="1">IFERROR(__xludf.DUMMYFUNCTION("IMPORTRANGE(""https://docs.google.com/spreadsheets/d/1-uDff_7J0KD5mKrp0Vvzr7lt3OU09vwQwhkpOPPYv2Y/edit?usp=sharing"",""งบพรบ!ED58"")"),0)</f>
        <v>0</v>
      </c>
      <c r="N308" s="427">
        <f ca="1">IFERROR(__xludf.DUMMYFUNCTION("IMPORTRANGE(""https://docs.google.com/spreadsheets/d/1-uDff_7J0KD5mKrp0Vvzr7lt3OU09vwQwhkpOPPYv2Y/edit?usp=sharing"",""งบพรบ!EF58"")"),0)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IFERROR(__xludf.DUMMYFUNCTION("IMPORTRANGE(""https://docs.google.com/spreadsheets/d/1-uDff_7J0KD5mKrp0Vvzr7lt3OU09vwQwhkpOPPYv2Y/edit?usp=sharing"",""งบพรบ!EB58"")"),0)</f>
        <v>0</v>
      </c>
      <c r="M311" s="427">
        <f ca="1">IFERROR(__xludf.DUMMYFUNCTION("IMPORTRANGE(""https://docs.google.com/spreadsheets/d/1-uDff_7J0KD5mKrp0Vvzr7lt3OU09vwQwhkpOPPYv2Y/edit?usp=sharing"",""งบพรบ!EE58"")"),0)</f>
        <v>0</v>
      </c>
      <c r="N311" s="427">
        <f ca="1">IFERROR(__xludf.DUMMYFUNCTION("IMPORTRANGE(""https://docs.google.com/spreadsheets/d/1-uDff_7J0KD5mKrp0Vvzr7lt3OU09vwQwhkpOPPYv2Y/edit?usp=sharing"",""งบพรบ!EG58"")"),0)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IFERROR(__xludf.DUMMYFUNCTION("IMPORTRANGE(""https://docs.google.com/spreadsheets/d/1eHaY18a8A9IcSdp1K8H6x8fbOy06t2VsZHhMHf-1x7Y/edit?usp=sharing"",""แผน!EF58"")"),0)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IFERROR(__xludf.DUMMYFUNCTION("IMPORTRANGE(""https://docs.google.com/spreadsheets/d/1eHaY18a8A9IcSdp1K8H6x8fbOy06t2VsZHhMHf-1x7Y/edit?usp=sharing"",""แผน!EG58"")"),0)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IFERROR(__xludf.DUMMYFUNCTION("IMPORTRANGE(""https://docs.google.com/spreadsheets/d/1eHaY18a8A9IcSdp1K8H6x8fbOy06t2VsZHhMHf-1x7Y/edit?usp=sharing"",""แผน!EH58"")"),0)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IFERROR(__xludf.DUMMYFUNCTION("IMPORTRANGE(""https://docs.google.com/spreadsheets/d/1eHaY18a8A9IcSdp1K8H6x8fbOy06t2VsZHhMHf-1x7Y/edit?usp=sharing"",""แผน!EI58"")"),0)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IFERROR(__xludf.DUMMYFUNCTION("IMPORTRANGE(""https://docs.google.com/spreadsheets/d/1-uDff_7J0KD5mKrp0Vvzr7lt3OU09vwQwhkpOPPYv2Y/edit?usp=sharing"",""งบพรบ!EI58"")"),0)</f>
        <v>0</v>
      </c>
      <c r="M325" s="427">
        <f ca="1">IFERROR(__xludf.DUMMYFUNCTION("IMPORTRANGE(""https://docs.google.com/spreadsheets/d/1-uDff_7J0KD5mKrp0Vvzr7lt3OU09vwQwhkpOPPYv2Y/edit?usp=sharing"",""งบพรบ!EN58"")"),0)</f>
        <v>0</v>
      </c>
      <c r="N325" s="427">
        <f ca="1">IFERROR(__xludf.DUMMYFUNCTION("IMPORTRANGE(""https://docs.google.com/spreadsheets/d/1-uDff_7J0KD5mKrp0Vvzr7lt3OU09vwQwhkpOPPYv2Y/edit?usp=sharing"",""งบพรบ!EP58"")"),0)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IFERROR(__xludf.DUMMYFUNCTION("IMPORTRANGE(""https://docs.google.com/spreadsheets/d/1-uDff_7J0KD5mKrp0Vvzr7lt3OU09vwQwhkpOPPYv2Y/edit?usp=sharing"",""งบพรบ!EL58"")"),0)</f>
        <v>0</v>
      </c>
      <c r="M328" s="427">
        <f ca="1">IFERROR(__xludf.DUMMYFUNCTION("IMPORTRANGE(""https://docs.google.com/spreadsheets/d/1-uDff_7J0KD5mKrp0Vvzr7lt3OU09vwQwhkpOPPYv2Y/edit?usp=sharing"",""งบพรบ!EO58"")"),0)</f>
        <v>0</v>
      </c>
      <c r="N328" s="427">
        <f ca="1">IFERROR(__xludf.DUMMYFUNCTION("IMPORTRANGE(""https://docs.google.com/spreadsheets/d/1-uDff_7J0KD5mKrp0Vvzr7lt3OU09vwQwhkpOPPYv2Y/edit?usp=sharing"",""งบพรบ!EQ58"")"),0)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IFERROR(__xludf.DUMMYFUNCTION("IMPORTRANGE(""https://docs.google.com/spreadsheets/d/1eHaY18a8A9IcSdp1K8H6x8fbOy06t2VsZHhMHf-1x7Y/edit?usp=sharing"",""แผน!EJ58"")"),0)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400</v>
      </c>
      <c r="J332" s="404">
        <f ca="1">J344+J347+J348+J349+J353</f>
        <v>3474</v>
      </c>
      <c r="K332" s="405">
        <f ca="1">IF(I332&gt;0,J332*100/I332,0)</f>
        <v>868.5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216600</v>
      </c>
      <c r="M333" s="715">
        <f ca="1">M334+M335</f>
        <v>163350</v>
      </c>
      <c r="N333" s="715">
        <f ca="1">N334+N335</f>
        <v>42000</v>
      </c>
      <c r="O333" s="715">
        <f t="shared" ref="O333:O341" ca="1" si="45">IF(L333&gt;0,N333*100/L333,0)</f>
        <v>19.390581717451525</v>
      </c>
      <c r="P333" s="715">
        <f t="shared" ref="P333:P341" ca="1" si="46">IF(M333&gt;0,N333*100/M333,0)</f>
        <v>25.711662075298438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216600</v>
      </c>
      <c r="M335" s="427">
        <f t="shared" ca="1" si="47"/>
        <v>163350</v>
      </c>
      <c r="N335" s="427">
        <f t="shared" ca="1" si="47"/>
        <v>42000</v>
      </c>
      <c r="O335" s="427">
        <f t="shared" ca="1" si="45"/>
        <v>19.390581717451525</v>
      </c>
      <c r="P335" s="427">
        <f t="shared" ca="1" si="46"/>
        <v>25.711662075298438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216600</v>
      </c>
      <c r="M336" s="427">
        <f ca="1">M337+M338</f>
        <v>163350</v>
      </c>
      <c r="N336" s="427">
        <f ca="1">N337+N338</f>
        <v>42000</v>
      </c>
      <c r="O336" s="427">
        <f t="shared" ca="1" si="45"/>
        <v>19.390581717451525</v>
      </c>
      <c r="P336" s="427">
        <f t="shared" ca="1" si="46"/>
        <v>25.711662075298438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IFERROR(__xludf.DUMMYFUNCTION("IMPORTRANGE(""https://docs.google.com/spreadsheets/d/1-uDff_7J0KD5mKrp0Vvzr7lt3OU09vwQwhkpOPPYv2Y/edit?usp=sharing"",""งบพรบ!ES58"")"),216600)</f>
        <v>216600</v>
      </c>
      <c r="M338" s="427">
        <f ca="1">IFERROR(__xludf.DUMMYFUNCTION("IMPORTRANGE(""https://docs.google.com/spreadsheets/d/1-uDff_7J0KD5mKrp0Vvzr7lt3OU09vwQwhkpOPPYv2Y/edit?usp=sharing"",""งบพรบ!EX58"")"),163350)</f>
        <v>163350</v>
      </c>
      <c r="N338" s="427">
        <f ca="1">IFERROR(__xludf.DUMMYFUNCTION("IMPORTRANGE(""https://docs.google.com/spreadsheets/d/1-uDff_7J0KD5mKrp0Vvzr7lt3OU09vwQwhkpOPPYv2Y/edit?usp=sharing"",""งบพรบ!EZ58"")"),42000)</f>
        <v>42000</v>
      </c>
      <c r="O338" s="427">
        <f t="shared" ca="1" si="45"/>
        <v>19.390581717451525</v>
      </c>
      <c r="P338" s="427">
        <f t="shared" ca="1" si="46"/>
        <v>25.711662075298438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IFERROR(__xludf.DUMMYFUNCTION("IMPORTRANGE(""https://docs.google.com/spreadsheets/d/1-uDff_7J0KD5mKrp0Vvzr7lt3OU09vwQwhkpOPPYv2Y/edit?usp=sharing"",""งบพรบ!EV58"")"),0)</f>
        <v>0</v>
      </c>
      <c r="M341" s="427">
        <f ca="1">IFERROR(__xludf.DUMMYFUNCTION("IMPORTRANGE(""https://docs.google.com/spreadsheets/d/1-uDff_7J0KD5mKrp0Vvzr7lt3OU09vwQwhkpOPPYv2Y/edit?usp=sharing"",""งบพรบ!EY58"")"),0)</f>
        <v>0</v>
      </c>
      <c r="N341" s="427">
        <f ca="1">IFERROR(__xludf.DUMMYFUNCTION("IMPORTRANGE(""https://docs.google.com/spreadsheets/d/1-uDff_7J0KD5mKrp0Vvzr7lt3OU09vwQwhkpOPPYv2Y/edit?usp=sharing"",""งบพรบ!FA58"")"),0)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457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IFERROR(__xludf.DUMMYFUNCTION("IMPORTRANGE(""https://docs.google.com/spreadsheets/d/1eHaY18a8A9IcSdp1K8H6x8fbOy06t2VsZHhMHf-1x7Y/edit?usp=sharing"",""แผน!EK58"")"),400)</f>
        <v>400</v>
      </c>
      <c r="J344" s="426">
        <f ca="1">IFERROR(__xludf.DUMMYFUNCTION("IMPORTRANGE(""https://docs.google.com/spreadsheets/d/1awYsYK3VOup2i3Pq_Yjnu8DRu_mYwSBnCR2QPthd0rU/edit?usp=sharing"",""ศูนย์ยกเว้นโฉนด!D58"")"),451)</f>
        <v>451</v>
      </c>
      <c r="K344" s="427">
        <f ca="1">IF(I344&gt;0,J344*100/I344,0)</f>
        <v>112.75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IFERROR(__xludf.DUMMYFUNCTION("IMPORTRANGE(""https://docs.google.com/spreadsheets/d/1eHaY18a8A9IcSdp1K8H6x8fbOy06t2VsZHhMHf-1x7Y/edit?usp=sharing"",""แผน!EL58"")"),1)</f>
        <v>1</v>
      </c>
      <c r="J346" s="426">
        <f ca="1">IFERROR(__xludf.DUMMYFUNCTION("IMPORTRANGE(""https://docs.google.com/spreadsheets/d/1awYsYK3VOup2i3Pq_Yjnu8DRu_mYwSBnCR2QPthd0rU/edit?usp=sharing"",""ศูนย์รวม!E58"")"),0)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IFERROR(__xludf.DUMMYFUNCTION("IMPORTRANGE(""https://docs.google.com/spreadsheets/d/1awYsYK3VOup2i3Pq_Yjnu8DRu_mYwSBnCR2QPthd0rU/edit?usp=sharing"",""ศูนย์ยกเว้นโฉนด!F58"")"),0)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IFERROR(__xludf.DUMMYFUNCTION("IMPORTRANGE(""https://docs.google.com/spreadsheets/d/1awYsYK3VOup2i3Pq_Yjnu8DRu_mYwSBnCR2QPthd0rU/edit?usp=sharing"",""ศูนย์ยกเว้นโฉนด!G58"")"),6)</f>
        <v>6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3156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IFERROR(__xludf.DUMMYFUNCTION("IMPORTRANGE(""https://docs.google.com/spreadsheets/d/1awYsYK3VOup2i3Pq_Yjnu8DRu_mYwSBnCR2QPthd0rU/edit?usp=sharing"",""โฉนดM3!G58"")"),139)</f>
        <v>139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IFERROR(__xludf.DUMMYFUNCTION("IMPORTRANGE(""https://docs.google.com/spreadsheets/d/1awYsYK3VOup2i3Pq_Yjnu8DRu_mYwSBnCR2QPthd0rU/edit?usp=sharing"",""โฉนดM3!H58"")"),3017)</f>
        <v>3017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335210</v>
      </c>
      <c r="M356" s="715">
        <f ca="1">M357+M358</f>
        <v>283210</v>
      </c>
      <c r="N356" s="715">
        <f ca="1">N357+N358</f>
        <v>67070</v>
      </c>
      <c r="O356" s="715">
        <f t="shared" ref="O356:O364" ca="1" si="48">IF(L356&gt;0,N356*100/L356,0)</f>
        <v>20.008352972763344</v>
      </c>
      <c r="P356" s="715">
        <f t="shared" ref="P356:P364" ca="1" si="49">IF(M356&gt;0,N356*100/M356,0)</f>
        <v>23.682073373115355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335210</v>
      </c>
      <c r="M358" s="427">
        <f t="shared" ca="1" si="50"/>
        <v>283210</v>
      </c>
      <c r="N358" s="427">
        <f t="shared" ca="1" si="50"/>
        <v>67070</v>
      </c>
      <c r="O358" s="427">
        <f t="shared" ca="1" si="48"/>
        <v>20.008352972763344</v>
      </c>
      <c r="P358" s="427">
        <f t="shared" ca="1" si="49"/>
        <v>23.682073373115355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335210</v>
      </c>
      <c r="M359" s="427">
        <f ca="1">M360+M361</f>
        <v>283210</v>
      </c>
      <c r="N359" s="427">
        <f ca="1">N360+N361</f>
        <v>67070</v>
      </c>
      <c r="O359" s="427">
        <f t="shared" ca="1" si="48"/>
        <v>20.008352972763344</v>
      </c>
      <c r="P359" s="427">
        <f t="shared" ca="1" si="49"/>
        <v>23.682073373115355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IFERROR(__xludf.DUMMYFUNCTION("IMPORTRANGE(""https://docs.google.com/spreadsheets/d/1-uDff_7J0KD5mKrp0Vvzr7lt3OU09vwQwhkpOPPYv2Y/edit?usp=sharing"",""งบพรบ!FC58"")"),335210)</f>
        <v>335210</v>
      </c>
      <c r="M361" s="427">
        <f ca="1">IFERROR(__xludf.DUMMYFUNCTION("IMPORTRANGE(""https://docs.google.com/spreadsheets/d/1-uDff_7J0KD5mKrp0Vvzr7lt3OU09vwQwhkpOPPYv2Y/edit?usp=sharing"",""งบพรบ!FH58"")"),283210)</f>
        <v>283210</v>
      </c>
      <c r="N361" s="427">
        <f ca="1">IFERROR(__xludf.DUMMYFUNCTION("IMPORTRANGE(""https://docs.google.com/spreadsheets/d/1-uDff_7J0KD5mKrp0Vvzr7lt3OU09vwQwhkpOPPYv2Y/edit?usp=sharing"",""งบพรบ!FJ58"")"),67070)</f>
        <v>67070</v>
      </c>
      <c r="O361" s="427">
        <f t="shared" ca="1" si="48"/>
        <v>20.008352972763344</v>
      </c>
      <c r="P361" s="427">
        <f t="shared" ca="1" si="49"/>
        <v>23.682073373115355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IFERROR(__xludf.DUMMYFUNCTION("IMPORTRANGE(""https://docs.google.com/spreadsheets/d/1-uDff_7J0KD5mKrp0Vvzr7lt3OU09vwQwhkpOPPYv2Y/edit?usp=sharing"",""งบพรบ!FF58"")"),0)</f>
        <v>0</v>
      </c>
      <c r="M364" s="427">
        <f ca="1">IFERROR(__xludf.DUMMYFUNCTION("IMPORTRANGE(""https://docs.google.com/spreadsheets/d/1-uDff_7J0KD5mKrp0Vvzr7lt3OU09vwQwhkpOPPYv2Y/edit?usp=sharing"",""งบพรบ!FI58"")"),0)</f>
        <v>0</v>
      </c>
      <c r="N364" s="427">
        <f ca="1">IFERROR(__xludf.DUMMYFUNCTION("IMPORTRANGE(""https://docs.google.com/spreadsheets/d/1-uDff_7J0KD5mKrp0Vvzr7lt3OU09vwQwhkpOPPYv2Y/edit?usp=sharing"",""งบพรบ!FK58"")"),0)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135</v>
      </c>
      <c r="J365" s="440">
        <f ca="1">J371</f>
        <v>52</v>
      </c>
      <c r="K365" s="441">
        <f ca="1">IF(I365&gt;0,J365*100/I365,0)</f>
        <v>38.518518518518519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IFERROR(__xludf.DUMMYFUNCTION("IMPORTRANGE(""https://docs.google.com/spreadsheets/d/1tdoBKaGub7dwA3U6UFTqxio9LNnvDCQjHKmttSEBsFQ/edit?usp=sharing"",""จัดที่ดิน!AB58"")"),0)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IFERROR(__xludf.DUMMYFUNCTION("IMPORTRANGE(""https://docs.google.com/spreadsheets/d/1eHaY18a8A9IcSdp1K8H6x8fbOy06t2VsZHhMHf-1x7Y/edit?usp=sharing"",""แผน!EW58"")"),1315)</f>
        <v>1315</v>
      </c>
      <c r="J368" s="704">
        <f ca="1">IFERROR(__xludf.DUMMYFUNCTION("IMPORTRANGE(""https://docs.google.com/spreadsheets/d/1tdoBKaGub7dwA3U6UFTqxio9LNnvDCQjHKmttSEBsFQ/edit?usp=sharing"",""จัดที่ดิน!AC58"")"),0)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IFERROR(__xludf.DUMMYFUNCTION("IMPORTRANGE(""https://docs.google.com/spreadsheets/d/1eHaY18a8A9IcSdp1K8H6x8fbOy06t2VsZHhMHf-1x7Y/edit?usp=sharing"",""แผน!EX58"")"),191)</f>
        <v>191</v>
      </c>
      <c r="J369" s="426">
        <f ca="1">IFERROR(__xludf.DUMMYFUNCTION("IMPORTRANGE(""https://docs.google.com/spreadsheets/d/1tdoBKaGub7dwA3U6UFTqxio9LNnvDCQjHKmttSEBsFQ/edit?usp=sharing"",""จัดที่ดิน!AD58"")"),52)</f>
        <v>52</v>
      </c>
      <c r="K369" s="427">
        <f t="shared" ca="1" si="51"/>
        <v>27.225130890052355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IFERROR(__xludf.DUMMYFUNCTION("IMPORTRANGE(""https://docs.google.com/spreadsheets/d/1tdoBKaGub7dwA3U6UFTqxio9LNnvDCQjHKmttSEBsFQ/edit?usp=sharing"",""จัดที่ดิน!AE58"")"),955.38)</f>
        <v>955.38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IFERROR(__xludf.DUMMYFUNCTION("IMPORTRANGE(""https://docs.google.com/spreadsheets/d/1eHaY18a8A9IcSdp1K8H6x8fbOy06t2VsZHhMHf-1x7Y/edit?usp=sharing"",""แผน!EY58"")"),135)</f>
        <v>135</v>
      </c>
      <c r="J371" s="426">
        <f ca="1">IFERROR(__xludf.DUMMYFUNCTION("IMPORTRANGE(""https://docs.google.com/spreadsheets/d/1tdoBKaGub7dwA3U6UFTqxio9LNnvDCQjHKmttSEBsFQ/edit?usp=sharing"",""จัดที่ดิน!AF58"")"),52)</f>
        <v>52</v>
      </c>
      <c r="K371" s="427">
        <f t="shared" ca="1" si="51"/>
        <v>38.518518518518519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IFERROR(__xludf.DUMMYFUNCTION("IMPORTRANGE(""https://docs.google.com/spreadsheets/d/1tdoBKaGub7dwA3U6UFTqxio9LNnvDCQjHKmttSEBsFQ/edit?usp=sharing"",""จัดที่ดิน!AG58"")"),955.38)</f>
        <v>955.38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IFERROR(__xludf.DUMMYFUNCTION("IMPORTRANGE(""https://docs.google.com/spreadsheets/d/1-uDff_7J0KD5mKrp0Vvzr7lt3OU09vwQwhkpOPPYv2Y/edit?usp=sharing"",""งบพรบ!FM58"")"),0)</f>
        <v>0</v>
      </c>
      <c r="M382" s="502">
        <f ca="1">IFERROR(__xludf.DUMMYFUNCTION("IMPORTRANGE(""https://docs.google.com/spreadsheets/d/1-uDff_7J0KD5mKrp0Vvzr7lt3OU09vwQwhkpOPPYv2Y/edit?usp=sharing"",""งบพรบ!FR58"")"),0)</f>
        <v>0</v>
      </c>
      <c r="N382" s="502">
        <f ca="1">IFERROR(__xludf.DUMMYFUNCTION("IMPORTRANGE(""https://docs.google.com/spreadsheets/d/1-uDff_7J0KD5mKrp0Vvzr7lt3OU09vwQwhkpOPPYv2Y/edit?usp=sharing"",""งบพรบ!FT58"")"),0)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IFERROR(__xludf.DUMMYFUNCTION("IMPORTRANGE(""https://docs.google.com/spreadsheets/d/1-uDff_7J0KD5mKrp0Vvzr7lt3OU09vwQwhkpOPPYv2Y/edit?usp=sharing"",""งบพรบ!FP58"")"),0)</f>
        <v>0</v>
      </c>
      <c r="M385" s="502">
        <f ca="1">IFERROR(__xludf.DUMMYFUNCTION("IMPORTRANGE(""https://docs.google.com/spreadsheets/d/1-uDff_7J0KD5mKrp0Vvzr7lt3OU09vwQwhkpOPPYv2Y/edit?usp=sharing"",""งบพรบ!FS58"")"),0)</f>
        <v>0</v>
      </c>
      <c r="N385" s="502">
        <f ca="1">IFERROR(__xludf.DUMMYFUNCTION("IMPORTRANGE(""https://docs.google.com/spreadsheets/d/1-uDff_7J0KD5mKrp0Vvzr7lt3OU09vwQwhkpOPPYv2Y/edit?usp=sharing"",""งบพรบ!FU58"")"),0)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2" orientation="portrait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D36-9BCD-4327-9BB9-1FBE8B85639E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0.8554687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258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1533840</v>
      </c>
      <c r="M18" s="843">
        <f ca="1">M19+M20</f>
        <v>1268230</v>
      </c>
      <c r="N18" s="843">
        <f ca="1">N19+N20</f>
        <v>576957</v>
      </c>
      <c r="O18" s="843">
        <f t="shared" ref="O18:O26" ca="1" si="0">IF(L18&gt;0,N18*100/L18,0)</f>
        <v>37.615201063996246</v>
      </c>
      <c r="P18" s="843">
        <f t="shared" ref="P18:P26" ca="1" si="1">IF(M18&gt;0,N18*100/M18,0)</f>
        <v>45.493088793042268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1533840</v>
      </c>
      <c r="M20" s="947">
        <f t="shared" ca="1" si="2"/>
        <v>1268230</v>
      </c>
      <c r="N20" s="947">
        <f t="shared" ca="1" si="2"/>
        <v>576957</v>
      </c>
      <c r="O20" s="947">
        <f t="shared" ca="1" si="0"/>
        <v>37.615201063996246</v>
      </c>
      <c r="P20" s="947">
        <f t="shared" ca="1" si="1"/>
        <v>45.493088793042268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1533840</v>
      </c>
      <c r="M21" s="427">
        <f ca="1">M22+M23</f>
        <v>1268230</v>
      </c>
      <c r="N21" s="427">
        <f ca="1">N22+N23</f>
        <v>576957</v>
      </c>
      <c r="O21" s="427">
        <f t="shared" ca="1" si="0"/>
        <v>37.615201063996246</v>
      </c>
      <c r="P21" s="427">
        <f t="shared" ca="1" si="1"/>
        <v>45.493088793042268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1533840</v>
      </c>
      <c r="M23" s="427">
        <f t="shared" ca="1" si="3"/>
        <v>1268230</v>
      </c>
      <c r="N23" s="427">
        <f t="shared" ca="1" si="3"/>
        <v>576957</v>
      </c>
      <c r="O23" s="427">
        <f t="shared" ca="1" si="0"/>
        <v>37.615201063996246</v>
      </c>
      <c r="P23" s="427">
        <f t="shared" ca="1" si="1"/>
        <v>45.493088793042268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1533840</v>
      </c>
      <c r="M40" s="940">
        <f ca="1">M44+M59+M72+M94+M125+M139+M157+M173+M186+M266+M282+M303+M320+M333+M356</f>
        <v>1268230</v>
      </c>
      <c r="N40" s="940">
        <f ca="1">N44+N59+N72+N94+N125+N139+N157+N173+N186+N266+N282+N303+N320+N333+N356</f>
        <v>576957</v>
      </c>
      <c r="O40" s="940">
        <f ca="1">IF(L40&gt;0,N40*100/L40,0)</f>
        <v>37.615201063996246</v>
      </c>
      <c r="P40" s="940">
        <f ca="1">IF(M40&gt;0,N40*100/M40,0)</f>
        <v>45.493088793042268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213450</v>
      </c>
      <c r="M44" s="925">
        <f ca="1">M45+M46</f>
        <v>220200</v>
      </c>
      <c r="N44" s="925">
        <f ca="1">N45+N46</f>
        <v>90750</v>
      </c>
      <c r="O44" s="925">
        <f t="shared" ref="O44:O52" ca="1" si="5">IF(L44&gt;0,N44*100/L44,0)</f>
        <v>42.515811665495434</v>
      </c>
      <c r="P44" s="925">
        <f t="shared" ref="P44:P52" ca="1" si="6">IF(M44&gt;0,N44*100/M44,0)</f>
        <v>41.212534059945504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213450</v>
      </c>
      <c r="M46" s="917">
        <f t="shared" ca="1" si="7"/>
        <v>220200</v>
      </c>
      <c r="N46" s="917">
        <f t="shared" ca="1" si="7"/>
        <v>90750</v>
      </c>
      <c r="O46" s="917">
        <f t="shared" ca="1" si="5"/>
        <v>42.515811665495434</v>
      </c>
      <c r="P46" s="917">
        <f t="shared" ca="1" si="6"/>
        <v>41.212534059945504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213450</v>
      </c>
      <c r="M47" s="427">
        <f ca="1">M48+M49</f>
        <v>220200</v>
      </c>
      <c r="N47" s="427">
        <f ca="1">N48+N49</f>
        <v>90750</v>
      </c>
      <c r="O47" s="427">
        <f t="shared" ca="1" si="5"/>
        <v>42.515811665495434</v>
      </c>
      <c r="P47" s="427">
        <f t="shared" ca="1" si="6"/>
        <v>41.212534059945504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IFERROR(__xludf.DUMMYFUNCTION("IMPORTRANGE(""https://docs.google.com/spreadsheets/d/1-uDff_7J0KD5mKrp0Vvzr7lt3OU09vwQwhkpOPPYv2Y/edit?usp=sharing"",""งบพรบ!P59"")"),213450)</f>
        <v>213450</v>
      </c>
      <c r="M49" s="427">
        <f ca="1">IFERROR(__xludf.DUMMYFUNCTION("IMPORTRANGE(""https://docs.google.com/spreadsheets/d/1-uDff_7J0KD5mKrp0Vvzr7lt3OU09vwQwhkpOPPYv2Y/edit?usp=sharing"",""งบพรบ!V59"")"),220200)</f>
        <v>220200</v>
      </c>
      <c r="N49" s="427">
        <f ca="1">IFERROR(__xludf.DUMMYFUNCTION("IMPORTRANGE(""https://docs.google.com/spreadsheets/d/1-uDff_7J0KD5mKrp0Vvzr7lt3OU09vwQwhkpOPPYv2Y/edit?usp=sharing"",""งบพรบ!Y59"")"),90750)</f>
        <v>90750</v>
      </c>
      <c r="O49" s="427">
        <f t="shared" ca="1" si="5"/>
        <v>42.515811665495434</v>
      </c>
      <c r="P49" s="427">
        <f t="shared" ca="1" si="6"/>
        <v>41.212534059945504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IFERROR(__xludf.DUMMYFUNCTION("IMPORTRANGE(""https://docs.google.com/spreadsheets/d/1-uDff_7J0KD5mKrp0Vvzr7lt3OU09vwQwhkpOPPYv2Y/edit?usp=sharing"",""งบพรบ!S59"")"),0)</f>
        <v>0</v>
      </c>
      <c r="M52" s="427">
        <f ca="1">IFERROR(__xludf.DUMMYFUNCTION("IMPORTRANGE(""https://docs.google.com/spreadsheets/d/1-uDff_7J0KD5mKrp0Vvzr7lt3OU09vwQwhkpOPPYv2Y/edit?usp=sharing"",""งบพรบ!W59"")"),0)</f>
        <v>0</v>
      </c>
      <c r="N52" s="427">
        <f ca="1">IFERROR(__xludf.DUMMYFUNCTION("IMPORTRANGE(""https://docs.google.com/spreadsheets/d/1-uDff_7J0KD5mKrp0Vvzr7lt3OU09vwQwhkpOPPYv2Y/edit?usp=sharing"",""งบพรบ!Z59"")"),0)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439000</v>
      </c>
      <c r="M59" s="899">
        <f ca="1">M60+M61</f>
        <v>390690</v>
      </c>
      <c r="N59" s="899">
        <f ca="1">N60+N61</f>
        <v>292236</v>
      </c>
      <c r="O59" s="899">
        <f t="shared" ref="O59:O67" ca="1" si="8">IF(L59&gt;0,N59*100/L59,0)</f>
        <v>66.568564920273346</v>
      </c>
      <c r="P59" s="899">
        <f t="shared" ref="P59:P67" ca="1" si="9">IF(M59&gt;0,N59*100/M59,0)</f>
        <v>74.799969285110961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439000</v>
      </c>
      <c r="M61" s="891">
        <f t="shared" ca="1" si="10"/>
        <v>390690</v>
      </c>
      <c r="N61" s="891">
        <f t="shared" ca="1" si="10"/>
        <v>292236</v>
      </c>
      <c r="O61" s="891">
        <f t="shared" ca="1" si="8"/>
        <v>66.568564920273346</v>
      </c>
      <c r="P61" s="891">
        <f t="shared" ca="1" si="9"/>
        <v>74.799969285110961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439000</v>
      </c>
      <c r="M62" s="427">
        <f ca="1">M63+M64</f>
        <v>390690</v>
      </c>
      <c r="N62" s="427">
        <f ca="1">N63+N64</f>
        <v>292236</v>
      </c>
      <c r="O62" s="427">
        <f t="shared" ca="1" si="8"/>
        <v>66.568564920273346</v>
      </c>
      <c r="P62" s="427">
        <f t="shared" ca="1" si="9"/>
        <v>74.799969285110961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IFERROR(__xludf.DUMMYFUNCTION("IMPORTRANGE(""https://docs.google.com/spreadsheets/d/1-uDff_7J0KD5mKrp0Vvzr7lt3OU09vwQwhkpOPPYv2Y/edit?usp=sharing"",""งบพรบ!AC59"")"),439000)</f>
        <v>439000</v>
      </c>
      <c r="M64" s="427">
        <f ca="1">IFERROR(__xludf.DUMMYFUNCTION("IMPORTRANGE(""https://docs.google.com/spreadsheets/d/1-uDff_7J0KD5mKrp0Vvzr7lt3OU09vwQwhkpOPPYv2Y/edit?usp=sharing"",""งบพรบ!AH59"")"),390690)</f>
        <v>390690</v>
      </c>
      <c r="N64" s="427">
        <f ca="1">IFERROR(__xludf.DUMMYFUNCTION("IMPORTRANGE(""https://docs.google.com/spreadsheets/d/1-uDff_7J0KD5mKrp0Vvzr7lt3OU09vwQwhkpOPPYv2Y/edit?usp=sharing"",""งบพรบ!AJ59"")"),292236)</f>
        <v>292236</v>
      </c>
      <c r="O64" s="427">
        <f t="shared" ca="1" si="8"/>
        <v>66.568564920273346</v>
      </c>
      <c r="P64" s="427">
        <f t="shared" ca="1" si="9"/>
        <v>74.799969285110961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IFERROR(__xludf.DUMMYFUNCTION("IMPORTRANGE(""https://docs.google.com/spreadsheets/d/1-uDff_7J0KD5mKrp0Vvzr7lt3OU09vwQwhkpOPPYv2Y/edit?usp=sharing"",""งบพรบ!AF59"")"),0)</f>
        <v>0</v>
      </c>
      <c r="M67" s="624">
        <f ca="1">IFERROR(__xludf.DUMMYFUNCTION("IMPORTRANGE(""https://docs.google.com/spreadsheets/d/1-uDff_7J0KD5mKrp0Vvzr7lt3OU09vwQwhkpOPPYv2Y/edit?usp=sharing"",""งบพรบ!AI59"")"),0)</f>
        <v>0</v>
      </c>
      <c r="N67" s="624">
        <f ca="1">IFERROR(__xludf.DUMMYFUNCTION("IMPORTRANGE(""https://docs.google.com/spreadsheets/d/1-uDff_7J0KD5mKrp0Vvzr7lt3OU09vwQwhkpOPPYv2Y/edit?usp=sharing"",""งบพรบ!AK59"")"),0)</f>
        <v>0</v>
      </c>
      <c r="O67" s="624">
        <f t="shared" ca="1" si="8"/>
        <v>0</v>
      </c>
      <c r="P67" s="624">
        <f t="shared" ca="1" si="9"/>
        <v>0</v>
      </c>
    </row>
    <row r="68" spans="1:16" ht="19.5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IFERROR(__xludf.DUMMYFUNCTION("IMPORTRANGE(""https://docs.google.com/spreadsheets/d/1-uDff_7J0KD5mKrp0Vvzr7lt3OU09vwQwhkpOPPYv2Y/edit?usp=sharing"",""งบพรบ!AM59"")"),0)</f>
        <v>0</v>
      </c>
      <c r="M77" s="427">
        <f ca="1">IFERROR(__xludf.DUMMYFUNCTION("IMPORTRANGE(""https://docs.google.com/spreadsheets/d/1-uDff_7J0KD5mKrp0Vvzr7lt3OU09vwQwhkpOPPYv2Y/edit?usp=sharing"",""งบพรบ!AR59"")"),0)</f>
        <v>0</v>
      </c>
      <c r="N77" s="427">
        <f ca="1">IFERROR(__xludf.DUMMYFUNCTION("IMPORTRANGE(""https://docs.google.com/spreadsheets/d/1-uDff_7J0KD5mKrp0Vvzr7lt3OU09vwQwhkpOPPYv2Y/edit?usp=sharing"",""งบพรบ!AT59"")"),0)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IFERROR(__xludf.DUMMYFUNCTION("IMPORTRANGE(""https://docs.google.com/spreadsheets/d/1-uDff_7J0KD5mKrp0Vvzr7lt3OU09vwQwhkpOPPYv2Y/edit?usp=sharing"",""งบพรบ!AP59"")"),0)</f>
        <v>0</v>
      </c>
      <c r="M80" s="427">
        <f ca="1">IFERROR(__xludf.DUMMYFUNCTION("IMPORTRANGE(""https://docs.google.com/spreadsheets/d/1-uDff_7J0KD5mKrp0Vvzr7lt3OU09vwQwhkpOPPYv2Y/edit?usp=sharing"",""งบพรบ!AS59"")"),0)</f>
        <v>0</v>
      </c>
      <c r="N80" s="427">
        <f ca="1">IFERROR(__xludf.DUMMYFUNCTION("IMPORTRANGE(""https://docs.google.com/spreadsheets/d/1-uDff_7J0KD5mKrp0Vvzr7lt3OU09vwQwhkpOPPYv2Y/edit?usp=sharing"",""งบพรบ!AU59"")"),0)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IFERROR(__xludf.DUMMYFUNCTION("IMPORTRANGE(""https://docs.google.com/spreadsheets/d/1eHaY18a8A9IcSdp1K8H6x8fbOy06t2VsZHhMHf-1x7Y/edit?usp=sharing"",""แผน!H59"")"),0)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IFERROR(__xludf.DUMMYFUNCTION("IMPORTRANGE(""https://docs.google.com/spreadsheets/d/1eHaY18a8A9IcSdp1K8H6x8fbOy06t2VsZHhMHf-1x7Y/edit?usp=sharing"",""แผน!I59"")"),0)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IFERROR(__xludf.DUMMYFUNCTION("IMPORTRANGE(""https://docs.google.com/spreadsheets/d/1eHaY18a8A9IcSdp1K8H6x8fbOy06t2VsZHhMHf-1x7Y/edit?usp=sharing"",""แผน!F59"")"),0)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IFERROR(__xludf.DUMMYFUNCTION("IMPORTRANGE(""https://docs.google.com/spreadsheets/d/1eHaY18a8A9IcSdp1K8H6x8fbOy06t2VsZHhMHf-1x7Y/edit?usp=sharing"",""แผน!G59"")"),0)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IFERROR(__xludf.DUMMYFUNCTION("IMPORTRANGE(""https://docs.google.com/spreadsheets/d/1eHaY18a8A9IcSdp1K8H6x8fbOy06t2VsZHhMHf-1x7Y/edit?usp=sharing"",""แผน!D59"")"),0)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IFERROR(__xludf.DUMMYFUNCTION("IMPORTRANGE(""https://docs.google.com/spreadsheets/d/1eHaY18a8A9IcSdp1K8H6x8fbOy06t2VsZHhMHf-1x7Y/edit?usp=sharing"",""แผน!E59"")"),0)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IFERROR(__xludf.DUMMYFUNCTION("IMPORTRANGE(""https://docs.google.com/spreadsheets/d/1eHaY18a8A9IcSdp1K8H6x8fbOy06t2VsZHhMHf-1x7Y/edit?usp=sharing"",""แผน!J59"")"),0)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IFERROR(__xludf.DUMMYFUNCTION("IMPORTRANGE(""https://docs.google.com/spreadsheets/d/1-uDff_7J0KD5mKrp0Vvzr7lt3OU09vwQwhkpOPPYv2Y/edit?usp=sharing"",""งบพรบ!AW59"")"),0)</f>
        <v>0</v>
      </c>
      <c r="M99" s="427">
        <f ca="1">IFERROR(__xludf.DUMMYFUNCTION("IMPORTRANGE(""https://docs.google.com/spreadsheets/d/1-uDff_7J0KD5mKrp0Vvzr7lt3OU09vwQwhkpOPPYv2Y/edit?usp=sharing"",""งบพรบ!BB59"")"),0)</f>
        <v>0</v>
      </c>
      <c r="N99" s="427">
        <f ca="1">IFERROR(__xludf.DUMMYFUNCTION("IMPORTRANGE(""https://docs.google.com/spreadsheets/d/1-uDff_7J0KD5mKrp0Vvzr7lt3OU09vwQwhkpOPPYv2Y/edit?usp=sharing"",""งบพรบ!BD59"")"),0)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IFERROR(__xludf.DUMMYFUNCTION("IMPORTRANGE(""https://docs.google.com/spreadsheets/d/1-uDff_7J0KD5mKrp0Vvzr7lt3OU09vwQwhkpOPPYv2Y/edit?usp=sharing"",""งบพรบ!AZ59"")"),0)</f>
        <v>0</v>
      </c>
      <c r="M102" s="427">
        <f ca="1">IFERROR(__xludf.DUMMYFUNCTION("IMPORTRANGE(""https://docs.google.com/spreadsheets/d/1-uDff_7J0KD5mKrp0Vvzr7lt3OU09vwQwhkpOPPYv2Y/edit?usp=sharing"",""งบพรบ!BC59"")"),0)</f>
        <v>0</v>
      </c>
      <c r="N102" s="427">
        <f ca="1">IFERROR(__xludf.DUMMYFUNCTION("IMPORTRANGE(""https://docs.google.com/spreadsheets/d/1-uDff_7J0KD5mKrp0Vvzr7lt3OU09vwQwhkpOPPYv2Y/edit?usp=sharing"",""งบพรบ!BE59"")"),0)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IFERROR(__xludf.DUMMYFUNCTION("IMPORTRANGE(""https://docs.google.com/spreadsheets/d/1eHaY18a8A9IcSdp1K8H6x8fbOy06t2VsZHhMHf-1x7Y/edit?usp=sharing"",""แผน!N59"")"),0)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IFERROR(__xludf.DUMMYFUNCTION("IMPORTRANGE(""https://docs.google.com/spreadsheets/d/1eHaY18a8A9IcSdp1K8H6x8fbOy06t2VsZHhMHf-1x7Y/edit?usp=sharing"",""แผน!O59"")"),0)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IFERROR(__xludf.DUMMYFUNCTION("IMPORTRANGE(""https://docs.google.com/spreadsheets/d/1eHaY18a8A9IcSdp1K8H6x8fbOy06t2VsZHhMHf-1x7Y/edit?usp=sharing"",""แผน!R59"")"),0)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IFERROR(__xludf.DUMMYFUNCTION("IMPORTRANGE(""https://docs.google.com/spreadsheets/d/1-uDff_7J0KD5mKrp0Vvzr7lt3OU09vwQwhkpOPPYv2Y/edit?usp=sharing"",""งบพรบ!BG59"")"),0)</f>
        <v>0</v>
      </c>
      <c r="M130" s="864">
        <f ca="1">IFERROR(__xludf.DUMMYFUNCTION("IMPORTRANGE(""https://docs.google.com/spreadsheets/d/1-uDff_7J0KD5mKrp0Vvzr7lt3OU09vwQwhkpOPPYv2Y/edit?usp=sharing"",""งบพรบ!BL59"")"),0)</f>
        <v>0</v>
      </c>
      <c r="N130" s="864">
        <f ca="1">IFERROR(__xludf.DUMMYFUNCTION("IMPORTRANGE(""https://docs.google.com/spreadsheets/d/1-uDff_7J0KD5mKrp0Vvzr7lt3OU09vwQwhkpOPPYv2Y/edit?usp=sharing"",""งบพรบ!BN59"")"),0)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IFERROR(__xludf.DUMMYFUNCTION("IMPORTRANGE(""https://docs.google.com/spreadsheets/d/1-uDff_7J0KD5mKrp0Vvzr7lt3OU09vwQwhkpOPPYv2Y/edit?usp=sharing"",""งบพรบ!BJ59"")"),0)</f>
        <v>0</v>
      </c>
      <c r="M133" s="864">
        <f ca="1">IFERROR(__xludf.DUMMYFUNCTION("IMPORTRANGE(""https://docs.google.com/spreadsheets/d/1-uDff_7J0KD5mKrp0Vvzr7lt3OU09vwQwhkpOPPYv2Y/edit?usp=sharing"",""งบพรบ!BM59"")"),0)</f>
        <v>0</v>
      </c>
      <c r="N133" s="864">
        <f ca="1">IFERROR(__xludf.DUMMYFUNCTION("IMPORTRANGE(""https://docs.google.com/spreadsheets/d/1-uDff_7J0KD5mKrp0Vvzr7lt3OU09vwQwhkpOPPYv2Y/edit?usp=sharing"",""งบพรบ!BO59"")"),0)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IFERROR(__xludf.DUMMYFUNCTION("IMPORTRANGE(""https://docs.google.com/spreadsheets/d/1-uDff_7J0KD5mKrp0Vvzr7lt3OU09vwQwhkpOPPYv2Y/edit?usp=sharing"",""งบพรบ!BQ59"")"),0)</f>
        <v>0</v>
      </c>
      <c r="M144" s="427">
        <f ca="1">IFERROR(__xludf.DUMMYFUNCTION("IMPORTRANGE(""https://docs.google.com/spreadsheets/d/1-uDff_7J0KD5mKrp0Vvzr7lt3OU09vwQwhkpOPPYv2Y/edit?usp=sharing"",""งบพรบ!BV59"")"),0)</f>
        <v>0</v>
      </c>
      <c r="N144" s="427">
        <f ca="1">IFERROR(__xludf.DUMMYFUNCTION("IMPORTRANGE(""https://docs.google.com/spreadsheets/d/1-uDff_7J0KD5mKrp0Vvzr7lt3OU09vwQwhkpOPPYv2Y/edit?usp=sharing"",""งบพรบ!BX59"")"),0)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IFERROR(__xludf.DUMMYFUNCTION("IMPORTRANGE(""https://docs.google.com/spreadsheets/d/1-uDff_7J0KD5mKrp0Vvzr7lt3OU09vwQwhkpOPPYv2Y/edit?usp=sharing"",""งบพรบ!BT59"")"),0)</f>
        <v>0</v>
      </c>
      <c r="M147" s="427">
        <f ca="1">IFERROR(__xludf.DUMMYFUNCTION("IMPORTRANGE(""https://docs.google.com/spreadsheets/d/1-uDff_7J0KD5mKrp0Vvzr7lt3OU09vwQwhkpOPPYv2Y/edit?usp=sharing"",""งบพรบ!BW59"")"),0)</f>
        <v>0</v>
      </c>
      <c r="N147" s="427">
        <f ca="1">IFERROR(__xludf.DUMMYFUNCTION("IMPORTRANGE(""https://docs.google.com/spreadsheets/d/1-uDff_7J0KD5mKrp0Vvzr7lt3OU09vwQwhkpOPPYv2Y/edit?usp=sharing"",""งบพรบ!BY59"")"),0)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IFERROR(__xludf.DUMMYFUNCTION("IMPORTRANGE(""https://docs.google.com/spreadsheets/d/1eHaY18a8A9IcSdp1K8H6x8fbOy06t2VsZHhMHf-1x7Y/edit?usp=sharing"",""แผน!U59"")"),0)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IFERROR(__xludf.DUMMYFUNCTION("IMPORTRANGE(""https://docs.google.com/spreadsheets/d/1eHaY18a8A9IcSdp1K8H6x8fbOy06t2VsZHhMHf-1x7Y/edit?usp=sharing"",""แผน!V59"")"),0)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IFERROR(__xludf.DUMMYFUNCTION("IMPORTRANGE(""https://docs.google.com/spreadsheets/d/1eHaY18a8A9IcSdp1K8H6x8fbOy06t2VsZHhMHf-1x7Y/edit?usp=sharing"",""แผน!W59"")"),0)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IFERROR(__xludf.DUMMYFUNCTION("IMPORTRANGE(""https://docs.google.com/spreadsheets/d/1eHaY18a8A9IcSdp1K8H6x8fbOy06t2VsZHhMHf-1x7Y/edit?usp=sharing"",""แผน!X59"")"),0)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IFERROR(__xludf.DUMMYFUNCTION("IMPORTRANGE(""https://docs.google.com/spreadsheets/d/1eHaY18a8A9IcSdp1K8H6x8fbOy06t2VsZHhMHf-1x7Y/edit?usp=sharing"",""แผน!Y59"")"),0)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IFERROR(__xludf.DUMMYFUNCTION("IMPORTRANGE(""https://docs.google.com/spreadsheets/d/1-uDff_7J0KD5mKrp0Vvzr7lt3OU09vwQwhkpOPPYv2Y/edit?usp=sharing"",""งบพรบ!CA59"")"),0)</f>
        <v>0</v>
      </c>
      <c r="M162" s="427">
        <f ca="1">IFERROR(__xludf.DUMMYFUNCTION("IMPORTRANGE(""https://docs.google.com/spreadsheets/d/1-uDff_7J0KD5mKrp0Vvzr7lt3OU09vwQwhkpOPPYv2Y/edit?usp=sharing"",""งบพรบ!CF59"")"),0)</f>
        <v>0</v>
      </c>
      <c r="N162" s="427">
        <f ca="1">IFERROR(__xludf.DUMMYFUNCTION("IMPORTRANGE(""https://docs.google.com/spreadsheets/d/1-uDff_7J0KD5mKrp0Vvzr7lt3OU09vwQwhkpOPPYv2Y/edit?usp=sharing"",""งบพรบ!CH59"")"),0)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IFERROR(__xludf.DUMMYFUNCTION("IMPORTRANGE(""https://docs.google.com/spreadsheets/d/1-uDff_7J0KD5mKrp0Vvzr7lt3OU09vwQwhkpOPPYv2Y/edit?usp=sharing"",""งบพรบ!CD59"")"),0)</f>
        <v>0</v>
      </c>
      <c r="M165" s="427">
        <f ca="1">IFERROR(__xludf.DUMMYFUNCTION("IMPORTRANGE(""https://docs.google.com/spreadsheets/d/1-uDff_7J0KD5mKrp0Vvzr7lt3OU09vwQwhkpOPPYv2Y/edit?usp=sharing"",""งบพรบ!CG59"")"),0)</f>
        <v>0</v>
      </c>
      <c r="N165" s="427">
        <f ca="1">IFERROR(__xludf.DUMMYFUNCTION("IMPORTRANGE(""https://docs.google.com/spreadsheets/d/1-uDff_7J0KD5mKrp0Vvzr7lt3OU09vwQwhkpOPPYv2Y/edit?usp=sharing"",""งบพรบ!CI59"")"),0)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IFERROR(__xludf.DUMMYFUNCTION("IMPORTRANGE(""https://docs.google.com/spreadsheets/d/1eHaY18a8A9IcSdp1K8H6x8fbOy06t2VsZHhMHf-1x7Y/edit?usp=sharing"",""แผน!Z59"")"),0)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IFERROR(__xludf.DUMMYFUNCTION("IMPORTRANGE(""https://docs.google.com/spreadsheets/d/1eHaY18a8A9IcSdp1K8H6x8fbOy06t2VsZHhMHf-1x7Y/edit?usp=sharing"",""แผน!Z59"")"),0)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IFERROR(__xludf.DUMMYFUNCTION("IMPORTRANGE(""https://docs.google.com/spreadsheets/d/1eHaY18a8A9IcSdp1K8H6x8fbOy06t2VsZHhMHf-1x7Y/edit?usp=sharing"",""แผน!Z59"")"),0)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hidden="1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0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hidden="1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0</v>
      </c>
      <c r="M173" s="715">
        <f ca="1">M174+M175</f>
        <v>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hidden="1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0</v>
      </c>
      <c r="M175" s="427">
        <f t="shared" ca="1" si="29"/>
        <v>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hidden="1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0</v>
      </c>
      <c r="M176" s="427">
        <f ca="1">M177+M178</f>
        <v>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hidden="1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IFERROR(__xludf.DUMMYFUNCTION("IMPORTRANGE(""https://docs.google.com/spreadsheets/d/1-uDff_7J0KD5mKrp0Vvzr7lt3OU09vwQwhkpOPPYv2Y/edit?usp=sharing"",""งบพรบ!CK59"")"),0)</f>
        <v>0</v>
      </c>
      <c r="M178" s="427">
        <f ca="1">IFERROR(__xludf.DUMMYFUNCTION("IMPORTRANGE(""https://docs.google.com/spreadsheets/d/1-uDff_7J0KD5mKrp0Vvzr7lt3OU09vwQwhkpOPPYv2Y/edit?usp=sharing"",""งบพรบ!CP59"")"),0)</f>
        <v>0</v>
      </c>
      <c r="N178" s="427">
        <f ca="1">IFERROR(__xludf.DUMMYFUNCTION("IMPORTRANGE(""https://docs.google.com/spreadsheets/d/1-uDff_7J0KD5mKrp0Vvzr7lt3OU09vwQwhkpOPPYv2Y/edit?usp=sharing"",""งบพรบ!CR59"")"),0)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hidden="1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hidden="1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IFERROR(__xludf.DUMMYFUNCTION("IMPORTRANGE(""https://docs.google.com/spreadsheets/d/1-uDff_7J0KD5mKrp0Vvzr7lt3OU09vwQwhkpOPPYv2Y/edit?usp=sharing"",""งบพรบ!CN59"")"),0)</f>
        <v>0</v>
      </c>
      <c r="M181" s="427">
        <f ca="1">IFERROR(__xludf.DUMMYFUNCTION("IMPORTRANGE(""https://docs.google.com/spreadsheets/d/1-uDff_7J0KD5mKrp0Vvzr7lt3OU09vwQwhkpOPPYv2Y/edit?usp=sharing"",""งบพรบ!CQ59"")"),0)</f>
        <v>0</v>
      </c>
      <c r="N181" s="427">
        <f ca="1">IFERROR(__xludf.DUMMYFUNCTION("IMPORTRANGE(""https://docs.google.com/spreadsheets/d/1-uDff_7J0KD5mKrp0Vvzr7lt3OU09vwQwhkpOPPYv2Y/edit?usp=sharing"",""งบพรบ!CS59"")"),0)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hidden="1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hidden="1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IFERROR(__xludf.DUMMYFUNCTION("IMPORTRANGE(""https://docs.google.com/spreadsheets/d/1eHaY18a8A9IcSdp1K8H6x8fbOy06t2VsZHhMHf-1x7Y/edit?usp=sharing"",""แผน!AA59"")"),0)</f>
        <v>0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20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234300</v>
      </c>
      <c r="M186" s="715">
        <f ca="1">M187+M188</f>
        <v>174600</v>
      </c>
      <c r="N186" s="715">
        <f ca="1">N187+N188</f>
        <v>63639</v>
      </c>
      <c r="O186" s="715">
        <f t="shared" ref="O186:O194" ca="1" si="30">IF(L186&gt;0,N186*100/L186,0)</f>
        <v>27.161331626120358</v>
      </c>
      <c r="P186" s="715">
        <f t="shared" ref="P186:P194" ca="1" si="31">IF(M186&gt;0,N186*100/M186,0)</f>
        <v>36.448453608247419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234300</v>
      </c>
      <c r="M188" s="427">
        <f t="shared" ca="1" si="32"/>
        <v>174600</v>
      </c>
      <c r="N188" s="427">
        <f t="shared" ca="1" si="32"/>
        <v>63639</v>
      </c>
      <c r="O188" s="427">
        <f t="shared" ca="1" si="30"/>
        <v>27.161331626120358</v>
      </c>
      <c r="P188" s="427">
        <f t="shared" ca="1" si="31"/>
        <v>36.448453608247419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234300</v>
      </c>
      <c r="M189" s="427">
        <f ca="1">M190+M191</f>
        <v>174600</v>
      </c>
      <c r="N189" s="427">
        <f ca="1">N190+N191</f>
        <v>63639</v>
      </c>
      <c r="O189" s="427">
        <f t="shared" ca="1" si="30"/>
        <v>27.161331626120358</v>
      </c>
      <c r="P189" s="427">
        <f t="shared" ca="1" si="31"/>
        <v>36.448453608247419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IFERROR(__xludf.DUMMYFUNCTION("IMPORTRANGE(""https://docs.google.com/spreadsheets/d/1-uDff_7J0KD5mKrp0Vvzr7lt3OU09vwQwhkpOPPYv2Y/edit?usp=sharing"",""งบพรบ!CU59"")"),234300)</f>
        <v>234300</v>
      </c>
      <c r="M191" s="427">
        <f ca="1">IFERROR(__xludf.DUMMYFUNCTION("IMPORTRANGE(""https://docs.google.com/spreadsheets/d/1-uDff_7J0KD5mKrp0Vvzr7lt3OU09vwQwhkpOPPYv2Y/edit?usp=sharing"",""งบพรบ!CZ59"")"),174600)</f>
        <v>174600</v>
      </c>
      <c r="N191" s="427">
        <f ca="1">IFERROR(__xludf.DUMMYFUNCTION("IMPORTRANGE(""https://docs.google.com/spreadsheets/d/1-uDff_7J0KD5mKrp0Vvzr7lt3OU09vwQwhkpOPPYv2Y/edit?usp=sharing"",""งบพรบ!DB59"")"),63639)</f>
        <v>63639</v>
      </c>
      <c r="O191" s="427">
        <f t="shared" ca="1" si="30"/>
        <v>27.161331626120358</v>
      </c>
      <c r="P191" s="427">
        <f t="shared" ca="1" si="31"/>
        <v>36.448453608247419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IFERROR(__xludf.DUMMYFUNCTION("IMPORTRANGE(""https://docs.google.com/spreadsheets/d/1-uDff_7J0KD5mKrp0Vvzr7lt3OU09vwQwhkpOPPYv2Y/edit?usp=sharing"",""งบพรบ!CX59"")"),0)</f>
        <v>0</v>
      </c>
      <c r="M194" s="427">
        <f ca="1">IFERROR(__xludf.DUMMYFUNCTION("IMPORTRANGE(""https://docs.google.com/spreadsheets/d/1-uDff_7J0KD5mKrp0Vvzr7lt3OU09vwQwhkpOPPYv2Y/edit?usp=sharing"",""งบพรบ!DA59"")"),0)</f>
        <v>0</v>
      </c>
      <c r="N194" s="427">
        <f ca="1">IFERROR(__xludf.DUMMYFUNCTION("IMPORTRANGE(""https://docs.google.com/spreadsheets/d/1-uDff_7J0KD5mKrp0Vvzr7lt3OU09vwQwhkpOPPYv2Y/edit?usp=sharing"",""งบพรบ!DC59"")"),0)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IFERROR(__xludf.DUMMYFUNCTION("IMPORTRANGE(""https://docs.google.com/spreadsheets/d/1eHaY18a8A9IcSdp1K8H6x8fbOy06t2VsZHhMHf-1x7Y/edit?usp=sharing"",""แผน!AB59"")"),6000)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IFERROR(__xludf.DUMMYFUNCTION("IMPORTRANGE(""https://docs.google.com/spreadsheets/d/1eHaY18a8A9IcSdp1K8H6x8fbOy06t2VsZHhMHf-1x7Y/edit?usp=sharing"",""แผน!AE59"")"),4)</f>
        <v>4</v>
      </c>
      <c r="J198" s="736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13000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x14ac:dyDescent="0.25">
      <c r="A204" s="684"/>
      <c r="B204" s="421"/>
      <c r="C204" s="421"/>
      <c r="D204" s="294" t="s">
        <v>152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IFERROR(__xludf.DUMMYFUNCTION("IMPORTRANGE(""https://docs.google.com/spreadsheets/d/1eHaY18a8A9IcSdp1K8H6x8fbOy06t2VsZHhMHf-1x7Y/edit?usp=sharing"",""แผน!AG59"")"),1000)</f>
        <v>1000</v>
      </c>
      <c r="M204" s="430"/>
      <c r="N204" s="818">
        <v>0</v>
      </c>
      <c r="O204" s="678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IFERROR(__xludf.DUMMYFUNCTION("IMPORTRANGE(""https://docs.google.com/spreadsheets/d/1eHaY18a8A9IcSdp1K8H6x8fbOy06t2VsZHhMHf-1x7Y/edit?usp=sharing"",""แผน!AH59"")"),0)</f>
        <v>0</v>
      </c>
      <c r="M205" s="430"/>
      <c r="N205" s="818">
        <v>0</v>
      </c>
      <c r="O205" s="678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IFERROR(__xludf.DUMMYFUNCTION("IMPORTRANGE(""https://docs.google.com/spreadsheets/d/1eHaY18a8A9IcSdp1K8H6x8fbOy06t2VsZHhMHf-1x7Y/edit?usp=sharing"",""แผน!AI59"")"),8000)</f>
        <v>8000</v>
      </c>
      <c r="M206" s="430"/>
      <c r="N206" s="818">
        <v>0</v>
      </c>
      <c r="O206" s="678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25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IFERROR(__xludf.DUMMYFUNCTION("IMPORTRANGE(""https://docs.google.com/spreadsheets/d/1eHaY18a8A9IcSdp1K8H6x8fbOy06t2VsZHhMHf-1x7Y/edit?usp=sharing"",""แผน!AJ59"")"),4000)</f>
        <v>4000</v>
      </c>
      <c r="M207" s="430"/>
      <c r="N207" s="818">
        <v>0</v>
      </c>
      <c r="O207" s="678"/>
      <c r="P207" s="430"/>
    </row>
    <row r="208" spans="1:16" ht="19.5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IFERROR(__xludf.DUMMYFUNCTION("IMPORTRANGE(""https://docs.google.com/spreadsheets/d/1eHaY18a8A9IcSdp1K8H6x8fbOy06t2VsZHhMHf-1x7Y/edit?usp=sharing"",""แผน!AK59"")"),1)</f>
        <v>1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IFERROR(__xludf.DUMMYFUNCTION("IMPORTRANGE(""https://docs.google.com/spreadsheets/d/1eHaY18a8A9IcSdp1K8H6x8fbOy06t2VsZHhMHf-1x7Y/edit?usp=sharing"",""แผน!JX59"")"),1)</f>
        <v>1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IFERROR(__xludf.DUMMYFUNCTION("IMPORTRANGE(""https://docs.google.com/spreadsheets/d/1eHaY18a8A9IcSdp1K8H6x8fbOy06t2VsZHhMHf-1x7Y/edit?usp=sharing"",""แผน!JY59"")"),0)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IFERROR(__xludf.DUMMYFUNCTION("IMPORTRANGE(""https://docs.google.com/spreadsheets/d/1eHaY18a8A9IcSdp1K8H6x8fbOy06t2VsZHhMHf-1x7Y/edit?usp=sharing"",""แผน!AM59"")"),0)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IFERROR(__xludf.DUMMYFUNCTION("IMPORTRANGE(""https://docs.google.com/spreadsheets/d/1eHaY18a8A9IcSdp1K8H6x8fbOy06t2VsZHhMHf-1x7Y/edit?usp=sharing"",""แผน!AN59"")"),0)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IFERROR(__xludf.DUMMYFUNCTION("IMPORTRANGE(""https://docs.google.com/spreadsheets/d/1eHaY18a8A9IcSdp1K8H6x8fbOy06t2VsZHhMHf-1x7Y/edit?usp=sharing"",""แผน!AO59"")"),0)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IFERROR(__xludf.DUMMYFUNCTION("IMPORTRANGE(""https://docs.google.com/spreadsheets/d/1eHaY18a8A9IcSdp1K8H6x8fbOy06t2VsZHhMHf-1x7Y/edit?usp=sharing"",""แผน!AP59"")"),0)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IFERROR(__xludf.DUMMYFUNCTION("IMPORTRANGE(""https://docs.google.com/spreadsheets/d/1eHaY18a8A9IcSdp1K8H6x8fbOy06t2VsZHhMHf-1x7Y/edit?usp=sharing"",""แผน!AP59"")"),0)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30000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6500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IFERROR(__xludf.DUMMYFUNCTION("IMPORTRANGE(""https://docs.google.com/spreadsheets/d/1eHaY18a8A9IcSdp1K8H6x8fbOy06t2VsZHhMHf-1x7Y/edit?usp=sharing"",""แผน!AR59"")"),5000)</f>
        <v>5000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IFERROR(__xludf.DUMMYFUNCTION("IMPORTRANGE(""https://docs.google.com/spreadsheets/d/1eHaY18a8A9IcSdp1K8H6x8fbOy06t2VsZHhMHf-1x7Y/edit?usp=sharing"",""แผน!AS59"")"),1500)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IFERROR(__xludf.DUMMYFUNCTION("IMPORTRANGE(""https://docs.google.com/spreadsheets/d/1eHaY18a8A9IcSdp1K8H6x8fbOy06t2VsZHhMHf-1x7Y/edit?usp=sharing"",""แผน!AT59"")"),0)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IFERROR(__xludf.DUMMYFUNCTION("IMPORTRANGE(""https://docs.google.com/spreadsheets/d/1eHaY18a8A9IcSdp1K8H6x8fbOy06t2VsZHhMHf-1x7Y/edit?usp=sharing"",""แผน!AV59"")"),30000)</f>
        <v>30000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IFERROR(__xludf.DUMMYFUNCTION("IMPORTRANGE(""https://docs.google.com/spreadsheets/d/1eHaY18a8A9IcSdp1K8H6x8fbOy06t2VsZHhMHf-1x7Y/edit?usp=sharing"",""แผน!AV59"")"),30000)</f>
        <v>30000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IFERROR(__xludf.DUMMYFUNCTION("IMPORTRANGE(""https://docs.google.com/spreadsheets/d/1eHaY18a8A9IcSdp1K8H6x8fbOy06t2VsZHhMHf-1x7Y/edit?usp=sharing"",""แผน!AU59"")"),0)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20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41600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12600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19000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20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20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253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41600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IFERROR(__xludf.DUMMYFUNCTION("IMPORTRANGE(""https://docs.google.com/spreadsheets/d/1eHaY18a8A9IcSdp1K8H6x8fbOy06t2VsZHhMHf-1x7Y/edit?usp=sharing"",""แผน!AX59"")"),8000)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IFERROR(__xludf.DUMMYFUNCTION("IMPORTRANGE(""https://docs.google.com/spreadsheets/d/1eHaY18a8A9IcSdp1K8H6x8fbOy06t2VsZHhMHf-1x7Y/edit?usp=sharing"",""แผน!AY59"")"),2000)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IFERROR(__xludf.DUMMYFUNCTION("IMPORTRANGE(""https://docs.google.com/spreadsheets/d/1eHaY18a8A9IcSdp1K8H6x8fbOy06t2VsZHhMHf-1x7Y/edit?usp=sharing"",""แผน!AZ59"")"),12600)</f>
        <v>12600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IFERROR(__xludf.DUMMYFUNCTION("IMPORTRANGE(""https://docs.google.com/spreadsheets/d/1eHaY18a8A9IcSdp1K8H6x8fbOy06t2VsZHhMHf-1x7Y/edit?usp=sharing"",""แผน!BA59"")"),19000)</f>
        <v>19000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IFERROR(__xludf.DUMMYFUNCTION("IMPORTRANGE(""https://docs.google.com/spreadsheets/d/1eHaY18a8A9IcSdp1K8H6x8fbOy06t2VsZHhMHf-1x7Y/edit?usp=sharing"",""แผน!BG59"")"),20)</f>
        <v>20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1077" t="s">
        <v>252</v>
      </c>
      <c r="F251" s="1076"/>
      <c r="G251" s="1075"/>
      <c r="H251" s="1074" t="s">
        <v>33</v>
      </c>
      <c r="I251" s="196">
        <f ca="1">IFERROR(__xludf.DUMMYFUNCTION("IMPORTRANGE(""https://docs.google.com/spreadsheets/d/1eHaY18a8A9IcSdp1K8H6x8fbOy06t2VsZHhMHf-1x7Y/edit?usp=sharing"",""แผน!KB59"")"),20)</f>
        <v>20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706" t="s">
        <v>251</v>
      </c>
      <c r="F252" s="422"/>
      <c r="G252" s="680"/>
      <c r="H252" s="705" t="s">
        <v>33</v>
      </c>
      <c r="I252" s="196">
        <f ca="1">IFERROR(__xludf.DUMMYFUNCTION("IMPORTRANGE(""https://docs.google.com/spreadsheets/d/1eHaY18a8A9IcSdp1K8H6x8fbOy06t2VsZHhMHf-1x7Y/edit?usp=sharing"",""แผน!KC59"")"),1)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IFERROR(__xludf.DUMMYFUNCTION("IMPORTRANGE(""https://docs.google.com/spreadsheets/d/1eHaY18a8A9IcSdp1K8H6x8fbOy06t2VsZHhMHf-1x7Y/edit?usp=sharing"",""แผน!BB59"")"),0)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IFERROR(__xludf.DUMMYFUNCTION("IMPORTRANGE(""https://docs.google.com/spreadsheets/d/1eHaY18a8A9IcSdp1K8H6x8fbOy06t2VsZHhMHf-1x7Y/edit?usp=sharing"",""แผน!BC59"")"),0)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IFERROR(__xludf.DUMMYFUNCTION("IMPORTRANGE(""https://docs.google.com/spreadsheets/d/1eHaY18a8A9IcSdp1K8H6x8fbOy06t2VsZHhMHf-1x7Y/edit?usp=sharing"",""แผน!BD59"")"),0)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IFERROR(__xludf.DUMMYFUNCTION("IMPORTRANGE(""https://docs.google.com/spreadsheets/d/1eHaY18a8A9IcSdp1K8H6x8fbOy06t2VsZHhMHf-1x7Y/edit?usp=sharing"",""แผน!BE59"")"),0)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IFERROR(__xludf.DUMMYFUNCTION("IMPORTRANGE(""https://docs.google.com/spreadsheets/d/1eHaY18a8A9IcSdp1K8H6x8fbOy06t2VsZHhMHf-1x7Y/edit?usp=sharing"",""แผน!BH59"")"),0)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IFERROR(__xludf.DUMMYFUNCTION("IMPORTRANGE(""https://docs.google.com/spreadsheets/d/1-uDff_7J0KD5mKrp0Vvzr7lt3OU09vwQwhkpOPPYv2Y/edit?usp=sharing"",""งบพรบ!DE59"")"),0)</f>
        <v>0</v>
      </c>
      <c r="M271" s="502">
        <f ca="1">IFERROR(__xludf.DUMMYFUNCTION("IMPORTRANGE(""https://docs.google.com/spreadsheets/d/1-uDff_7J0KD5mKrp0Vvzr7lt3OU09vwQwhkpOPPYv2Y/edit?usp=sharing"",""งบพรบ!DJ59"")"),0)</f>
        <v>0</v>
      </c>
      <c r="N271" s="502">
        <f ca="1">IFERROR(__xludf.DUMMYFUNCTION("IMPORTRANGE(""https://docs.google.com/spreadsheets/d/1-uDff_7J0KD5mKrp0Vvzr7lt3OU09vwQwhkpOPPYv2Y/edit?usp=sharing"",""งบพรบ!DL59"")"),0)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IFERROR(__xludf.DUMMYFUNCTION("IMPORTRANGE(""https://docs.google.com/spreadsheets/d/1-uDff_7J0KD5mKrp0Vvzr7lt3OU09vwQwhkpOPPYv2Y/edit?usp=sharing"",""งบพรบ!DH59"")"),0)</f>
        <v>0</v>
      </c>
      <c r="M274" s="502">
        <f ca="1">IFERROR(__xludf.DUMMYFUNCTION("IMPORTRANGE(""https://docs.google.com/spreadsheets/d/1-uDff_7J0KD5mKrp0Vvzr7lt3OU09vwQwhkpOPPYv2Y/edit?usp=sharing"",""งบพรบ!DK59"")"),0)</f>
        <v>0</v>
      </c>
      <c r="N274" s="502">
        <f ca="1">IFERROR(__xludf.DUMMYFUNCTION("IMPORTRANGE(""https://docs.google.com/spreadsheets/d/1-uDff_7J0KD5mKrp0Vvzr7lt3OU09vwQwhkpOPPYv2Y/edit?usp=sharing"",""งบพรบ!DM59"")"),0)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IFERROR(__xludf.DUMMYFUNCTION("IMPORTRANGE(""https://docs.google.com/spreadsheets/d/1-uDff_7J0KD5mKrp0Vvzr7lt3OU09vwQwhkpOPPYv2Y/edit?usp=sharing"",""งบพรบ!DO59"")"),0)</f>
        <v>0</v>
      </c>
      <c r="M287" s="427">
        <f ca="1">IFERROR(__xludf.DUMMYFUNCTION("IMPORTRANGE(""https://docs.google.com/spreadsheets/d/1-uDff_7J0KD5mKrp0Vvzr7lt3OU09vwQwhkpOPPYv2Y/edit?usp=sharing"",""งบพรบ!DT59"")"),0)</f>
        <v>0</v>
      </c>
      <c r="N287" s="427">
        <f ca="1">IFERROR(__xludf.DUMMYFUNCTION("IMPORTRANGE(""https://docs.google.com/spreadsheets/d/1-uDff_7J0KD5mKrp0Vvzr7lt3OU09vwQwhkpOPPYv2Y/edit?usp=sharing"",""งบพรบ!DV59"")"),0)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IFERROR(__xludf.DUMMYFUNCTION("IMPORTRANGE(""https://docs.google.com/spreadsheets/d/1-uDff_7J0KD5mKrp0Vvzr7lt3OU09vwQwhkpOPPYv2Y/edit?usp=sharing"",""งบพรบ!DR59"")"),0)</f>
        <v>0</v>
      </c>
      <c r="M290" s="427">
        <f ca="1">IFERROR(__xludf.DUMMYFUNCTION("IMPORTRANGE(""https://docs.google.com/spreadsheets/d/1-uDff_7J0KD5mKrp0Vvzr7lt3OU09vwQwhkpOPPYv2Y/edit?usp=sharing"",""งบพรบ!DU59"")"),0)</f>
        <v>0</v>
      </c>
      <c r="N290" s="427">
        <f ca="1">IFERROR(__xludf.DUMMYFUNCTION("IMPORTRANGE(""https://docs.google.com/spreadsheets/d/1-uDff_7J0KD5mKrp0Vvzr7lt3OU09vwQwhkpOPPYv2Y/edit?usp=sharing"",""งบพรบ!DW59"")"),0)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IFERROR(__xludf.DUMMYFUNCTION("IMPORTRANGE(""https://docs.google.com/spreadsheets/d/1eHaY18a8A9IcSdp1K8H6x8fbOy06t2VsZHhMHf-1x7Y/edit?usp=sharing"",""แผน!EE59"")"),0)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IFERROR(__xludf.DUMMYFUNCTION("IMPORTRANGE(""https://docs.google.com/spreadsheets/d/1eHaY18a8A9IcSdp1K8H6x8fbOy06t2VsZHhMHf-1x7Y/edit?usp=sharing"",""แผน!ED59"")"),0)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IFERROR(__xludf.DUMMYFUNCTION("IMPORTRANGE(""https://docs.google.com/spreadsheets/d/1eHaY18a8A9IcSdp1K8H6x8fbOy06t2VsZHhMHf-1x7Y/edit?usp=sharing"",""แผน!ED59"")"),0)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IFERROR(__xludf.DUMMYFUNCTION("IMPORTRANGE(""https://docs.google.com/spreadsheets/d/1eHaY18a8A9IcSdp1K8H6x8fbOy06t2VsZHhMHf-1x7Y/edit?usp=sharing"",""แผน!ED59"")"),0)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15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166000</v>
      </c>
      <c r="M303" s="715">
        <f ca="1">M304+M305</f>
        <v>123300</v>
      </c>
      <c r="N303" s="715">
        <f ca="1">N304+N305</f>
        <v>29200</v>
      </c>
      <c r="O303" s="715">
        <f t="shared" ref="O303:O311" ca="1" si="39">IF(L303&gt;0,N303*100/L303,0)</f>
        <v>17.590361445783131</v>
      </c>
      <c r="P303" s="715">
        <f t="shared" ref="P303:P311" ca="1" si="40">IF(M303&gt;0,N303*100/M303,0)</f>
        <v>23.682076236820762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166000</v>
      </c>
      <c r="M305" s="427">
        <f t="shared" ca="1" si="41"/>
        <v>123300</v>
      </c>
      <c r="N305" s="427">
        <f t="shared" ca="1" si="41"/>
        <v>29200</v>
      </c>
      <c r="O305" s="427">
        <f t="shared" ca="1" si="39"/>
        <v>17.590361445783131</v>
      </c>
      <c r="P305" s="427">
        <f t="shared" ca="1" si="40"/>
        <v>23.682076236820762</v>
      </c>
    </row>
    <row r="306" spans="1:16" ht="18.75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166000</v>
      </c>
      <c r="M306" s="427">
        <f ca="1">M307+M308</f>
        <v>123300</v>
      </c>
      <c r="N306" s="427">
        <f ca="1">N307+N308</f>
        <v>29200</v>
      </c>
      <c r="O306" s="427">
        <f t="shared" ca="1" si="39"/>
        <v>17.590361445783131</v>
      </c>
      <c r="P306" s="427">
        <f t="shared" ca="1" si="40"/>
        <v>23.682076236820762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IFERROR(__xludf.DUMMYFUNCTION("IMPORTRANGE(""https://docs.google.com/spreadsheets/d/1-uDff_7J0KD5mKrp0Vvzr7lt3OU09vwQwhkpOPPYv2Y/edit?usp=sharing"",""งบพรบ!DY59"")"),166000)</f>
        <v>166000</v>
      </c>
      <c r="M308" s="427">
        <f ca="1">IFERROR(__xludf.DUMMYFUNCTION("IMPORTRANGE(""https://docs.google.com/spreadsheets/d/1-uDff_7J0KD5mKrp0Vvzr7lt3OU09vwQwhkpOPPYv2Y/edit?usp=sharing"",""งบพรบ!ED59"")"),123300)</f>
        <v>123300</v>
      </c>
      <c r="N308" s="427">
        <f ca="1">IFERROR(__xludf.DUMMYFUNCTION("IMPORTRANGE(""https://docs.google.com/spreadsheets/d/1-uDff_7J0KD5mKrp0Vvzr7lt3OU09vwQwhkpOPPYv2Y/edit?usp=sharing"",""งบพรบ!EF59"")"),29200)</f>
        <v>29200</v>
      </c>
      <c r="O308" s="427">
        <f t="shared" ca="1" si="39"/>
        <v>17.590361445783131</v>
      </c>
      <c r="P308" s="427">
        <f t="shared" ca="1" si="40"/>
        <v>23.682076236820762</v>
      </c>
    </row>
    <row r="309" spans="1:16" ht="18.75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IFERROR(__xludf.DUMMYFUNCTION("IMPORTRANGE(""https://docs.google.com/spreadsheets/d/1-uDff_7J0KD5mKrp0Vvzr7lt3OU09vwQwhkpOPPYv2Y/edit?usp=sharing"",""งบพรบ!EB59"")"),0)</f>
        <v>0</v>
      </c>
      <c r="M311" s="427">
        <f ca="1">IFERROR(__xludf.DUMMYFUNCTION("IMPORTRANGE(""https://docs.google.com/spreadsheets/d/1-uDff_7J0KD5mKrp0Vvzr7lt3OU09vwQwhkpOPPYv2Y/edit?usp=sharing"",""งบพรบ!EE59"")"),0)</f>
        <v>0</v>
      </c>
      <c r="N311" s="427">
        <f ca="1">IFERROR(__xludf.DUMMYFUNCTION("IMPORTRANGE(""https://docs.google.com/spreadsheets/d/1-uDff_7J0KD5mKrp0Vvzr7lt3OU09vwQwhkpOPPYv2Y/edit?usp=sharing"",""งบพรบ!EG59"")"),0)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IFERROR(__xludf.DUMMYFUNCTION("IMPORTRANGE(""https://docs.google.com/spreadsheets/d/1eHaY18a8A9IcSdp1K8H6x8fbOy06t2VsZHhMHf-1x7Y/edit?usp=sharing"",""แผน!EF59"")"),15)</f>
        <v>15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IFERROR(__xludf.DUMMYFUNCTION("IMPORTRANGE(""https://docs.google.com/spreadsheets/d/1eHaY18a8A9IcSdp1K8H6x8fbOy06t2VsZHhMHf-1x7Y/edit?usp=sharing"",""แผน!EG59"")"),3)</f>
        <v>3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IFERROR(__xludf.DUMMYFUNCTION("IMPORTRANGE(""https://docs.google.com/spreadsheets/d/1eHaY18a8A9IcSdp1K8H6x8fbOy06t2VsZHhMHf-1x7Y/edit?usp=sharing"",""แผน!EH59"")"),15)</f>
        <v>15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IFERROR(__xludf.DUMMYFUNCTION("IMPORTRANGE(""https://docs.google.com/spreadsheets/d/1eHaY18a8A9IcSdp1K8H6x8fbOy06t2VsZHhMHf-1x7Y/edit?usp=sharing"",""แผน!EI59"")"),3)</f>
        <v>3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IFERROR(__xludf.DUMMYFUNCTION("IMPORTRANGE(""https://docs.google.com/spreadsheets/d/1-uDff_7J0KD5mKrp0Vvzr7lt3OU09vwQwhkpOPPYv2Y/edit?usp=sharing"",""งบพรบ!EI59"")"),0)</f>
        <v>0</v>
      </c>
      <c r="M325" s="427">
        <f ca="1">IFERROR(__xludf.DUMMYFUNCTION("IMPORTRANGE(""https://docs.google.com/spreadsheets/d/1-uDff_7J0KD5mKrp0Vvzr7lt3OU09vwQwhkpOPPYv2Y/edit?usp=sharing"",""งบพรบ!EN59"")"),0)</f>
        <v>0</v>
      </c>
      <c r="N325" s="427">
        <f ca="1">IFERROR(__xludf.DUMMYFUNCTION("IMPORTRANGE(""https://docs.google.com/spreadsheets/d/1-uDff_7J0KD5mKrp0Vvzr7lt3OU09vwQwhkpOPPYv2Y/edit?usp=sharing"",""งบพรบ!EP59"")"),0)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IFERROR(__xludf.DUMMYFUNCTION("IMPORTRANGE(""https://docs.google.com/spreadsheets/d/1-uDff_7J0KD5mKrp0Vvzr7lt3OU09vwQwhkpOPPYv2Y/edit?usp=sharing"",""งบพรบ!EL59"")"),0)</f>
        <v>0</v>
      </c>
      <c r="M328" s="427">
        <f ca="1">IFERROR(__xludf.DUMMYFUNCTION("IMPORTRANGE(""https://docs.google.com/spreadsheets/d/1-uDff_7J0KD5mKrp0Vvzr7lt3OU09vwQwhkpOPPYv2Y/edit?usp=sharing"",""งบพรบ!EO59"")"),0)</f>
        <v>0</v>
      </c>
      <c r="N328" s="427">
        <f ca="1">IFERROR(__xludf.DUMMYFUNCTION("IMPORTRANGE(""https://docs.google.com/spreadsheets/d/1-uDff_7J0KD5mKrp0Vvzr7lt3OU09vwQwhkpOPPYv2Y/edit?usp=sharing"",""งบพรบ!EQ59"")"),0)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IFERROR(__xludf.DUMMYFUNCTION("IMPORTRANGE(""https://docs.google.com/spreadsheets/d/1eHaY18a8A9IcSdp1K8H6x8fbOy06t2VsZHhMHf-1x7Y/edit?usp=sharing"",""แผน!EJ59"")"),0)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400</v>
      </c>
      <c r="J332" s="404">
        <f ca="1">J344+J347+J348+J349+J353</f>
        <v>174</v>
      </c>
      <c r="K332" s="405">
        <f ca="1">IF(I332&gt;0,J332*100/I332,0)</f>
        <v>43.5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365000</v>
      </c>
      <c r="M333" s="715">
        <f ca="1">M334+M335</f>
        <v>269350</v>
      </c>
      <c r="N333" s="715">
        <f ca="1">N334+N335</f>
        <v>76000</v>
      </c>
      <c r="O333" s="715">
        <f t="shared" ref="O333:O341" ca="1" si="45">IF(L333&gt;0,N333*100/L333,0)</f>
        <v>20.82191780821918</v>
      </c>
      <c r="P333" s="715">
        <f t="shared" ref="P333:P341" ca="1" si="46">IF(M333&gt;0,N333*100/M333,0)</f>
        <v>28.216075737887508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365000</v>
      </c>
      <c r="M335" s="427">
        <f t="shared" ca="1" si="47"/>
        <v>269350</v>
      </c>
      <c r="N335" s="427">
        <f t="shared" ca="1" si="47"/>
        <v>76000</v>
      </c>
      <c r="O335" s="427">
        <f t="shared" ca="1" si="45"/>
        <v>20.82191780821918</v>
      </c>
      <c r="P335" s="427">
        <f t="shared" ca="1" si="46"/>
        <v>28.216075737887508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365000</v>
      </c>
      <c r="M336" s="427">
        <f ca="1">M337+M338</f>
        <v>269350</v>
      </c>
      <c r="N336" s="427">
        <f ca="1">N337+N338</f>
        <v>76000</v>
      </c>
      <c r="O336" s="427">
        <f t="shared" ca="1" si="45"/>
        <v>20.82191780821918</v>
      </c>
      <c r="P336" s="427">
        <f t="shared" ca="1" si="46"/>
        <v>28.216075737887508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IFERROR(__xludf.DUMMYFUNCTION("IMPORTRANGE(""https://docs.google.com/spreadsheets/d/1-uDff_7J0KD5mKrp0Vvzr7lt3OU09vwQwhkpOPPYv2Y/edit?usp=sharing"",""งบพรบ!ES59"")"),365000)</f>
        <v>365000</v>
      </c>
      <c r="M338" s="427">
        <f ca="1">IFERROR(__xludf.DUMMYFUNCTION("IMPORTRANGE(""https://docs.google.com/spreadsheets/d/1-uDff_7J0KD5mKrp0Vvzr7lt3OU09vwQwhkpOPPYv2Y/edit?usp=sharing"",""งบพรบ!EX59"")"),269350)</f>
        <v>269350</v>
      </c>
      <c r="N338" s="427">
        <f ca="1">IFERROR(__xludf.DUMMYFUNCTION("IMPORTRANGE(""https://docs.google.com/spreadsheets/d/1-uDff_7J0KD5mKrp0Vvzr7lt3OU09vwQwhkpOPPYv2Y/edit?usp=sharing"",""งบพรบ!EZ59"")"),76000)</f>
        <v>76000</v>
      </c>
      <c r="O338" s="427">
        <f t="shared" ca="1" si="45"/>
        <v>20.82191780821918</v>
      </c>
      <c r="P338" s="427">
        <f t="shared" ca="1" si="46"/>
        <v>28.216075737887508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IFERROR(__xludf.DUMMYFUNCTION("IMPORTRANGE(""https://docs.google.com/spreadsheets/d/1-uDff_7J0KD5mKrp0Vvzr7lt3OU09vwQwhkpOPPYv2Y/edit?usp=sharing"",""งบพรบ!EV59"")"),0)</f>
        <v>0</v>
      </c>
      <c r="M341" s="427">
        <f ca="1">IFERROR(__xludf.DUMMYFUNCTION("IMPORTRANGE(""https://docs.google.com/spreadsheets/d/1-uDff_7J0KD5mKrp0Vvzr7lt3OU09vwQwhkpOPPYv2Y/edit?usp=sharing"",""งบพรบ!EY59"")"),0)</f>
        <v>0</v>
      </c>
      <c r="N341" s="427">
        <f ca="1">IFERROR(__xludf.DUMMYFUNCTION("IMPORTRANGE(""https://docs.google.com/spreadsheets/d/1-uDff_7J0KD5mKrp0Vvzr7lt3OU09vwQwhkpOPPYv2Y/edit?usp=sharing"",""งบพรบ!FA59"")"),0)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66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IFERROR(__xludf.DUMMYFUNCTION("IMPORTRANGE(""https://docs.google.com/spreadsheets/d/1eHaY18a8A9IcSdp1K8H6x8fbOy06t2VsZHhMHf-1x7Y/edit?usp=sharing"",""แผน!EK59"")"),400)</f>
        <v>400</v>
      </c>
      <c r="J344" s="426">
        <f ca="1">IFERROR(__xludf.DUMMYFUNCTION("IMPORTRANGE(""https://docs.google.com/spreadsheets/d/1awYsYK3VOup2i3Pq_Yjnu8DRu_mYwSBnCR2QPthd0rU/edit?usp=sharing"",""ศูนย์ยกเว้นโฉนด!D59"")"),66)</f>
        <v>66</v>
      </c>
      <c r="K344" s="427">
        <f ca="1">IF(I344&gt;0,J344*100/I344,0)</f>
        <v>16.5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IFERROR(__xludf.DUMMYFUNCTION("IMPORTRANGE(""https://docs.google.com/spreadsheets/d/1eHaY18a8A9IcSdp1K8H6x8fbOy06t2VsZHhMHf-1x7Y/edit?usp=sharing"",""แผน!EL59"")"),1)</f>
        <v>1</v>
      </c>
      <c r="J346" s="426">
        <f ca="1">IFERROR(__xludf.DUMMYFUNCTION("IMPORTRANGE(""https://docs.google.com/spreadsheets/d/1awYsYK3VOup2i3Pq_Yjnu8DRu_mYwSBnCR2QPthd0rU/edit?usp=sharing"",""ศูนย์รวม!E59"")"),0)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IFERROR(__xludf.DUMMYFUNCTION("IMPORTRANGE(""https://docs.google.com/spreadsheets/d/1awYsYK3VOup2i3Pq_Yjnu8DRu_mYwSBnCR2QPthd0rU/edit?usp=sharing"",""ศูนย์ยกเว้นโฉนด!F59"")"),0)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IFERROR(__xludf.DUMMYFUNCTION("IMPORTRANGE(""https://docs.google.com/spreadsheets/d/1awYsYK3VOup2i3Pq_Yjnu8DRu_mYwSBnCR2QPthd0rU/edit?usp=sharing"",""ศูนย์ยกเว้นโฉนด!G59"")"),0)</f>
        <v>0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112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IFERROR(__xludf.DUMMYFUNCTION("IMPORTRANGE(""https://docs.google.com/spreadsheets/d/1awYsYK3VOup2i3Pq_Yjnu8DRu_mYwSBnCR2QPthd0rU/edit?usp=sharing"",""โฉนดM3!G59"")"),4)</f>
        <v>4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IFERROR(__xludf.DUMMYFUNCTION("IMPORTRANGE(""https://docs.google.com/spreadsheets/d/1awYsYK3VOup2i3Pq_Yjnu8DRu_mYwSBnCR2QPthd0rU/edit?usp=sharing"",""โฉนดM3!H59"")"),108)</f>
        <v>108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116090</v>
      </c>
      <c r="M356" s="715">
        <f ca="1">M357+M358</f>
        <v>90090</v>
      </c>
      <c r="N356" s="715">
        <f ca="1">N357+N358</f>
        <v>25132</v>
      </c>
      <c r="O356" s="715">
        <f t="shared" ref="O356:O364" ca="1" si="48">IF(L356&gt;0,N356*100/L356,0)</f>
        <v>21.648720820053406</v>
      </c>
      <c r="P356" s="715">
        <f t="shared" ref="P356:P364" ca="1" si="49">IF(M356&gt;0,N356*100/M356,0)</f>
        <v>27.896547896547897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116090</v>
      </c>
      <c r="M358" s="427">
        <f t="shared" ca="1" si="50"/>
        <v>90090</v>
      </c>
      <c r="N358" s="427">
        <f t="shared" ca="1" si="50"/>
        <v>25132</v>
      </c>
      <c r="O358" s="427">
        <f t="shared" ca="1" si="48"/>
        <v>21.648720820053406</v>
      </c>
      <c r="P358" s="427">
        <f t="shared" ca="1" si="49"/>
        <v>27.896547896547897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116090</v>
      </c>
      <c r="M359" s="427">
        <f ca="1">M360+M361</f>
        <v>90090</v>
      </c>
      <c r="N359" s="427">
        <f ca="1">N360+N361</f>
        <v>25132</v>
      </c>
      <c r="O359" s="427">
        <f t="shared" ca="1" si="48"/>
        <v>21.648720820053406</v>
      </c>
      <c r="P359" s="427">
        <f t="shared" ca="1" si="49"/>
        <v>27.896547896547897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IFERROR(__xludf.DUMMYFUNCTION("IMPORTRANGE(""https://docs.google.com/spreadsheets/d/1-uDff_7J0KD5mKrp0Vvzr7lt3OU09vwQwhkpOPPYv2Y/edit?usp=sharing"",""งบพรบ!FC59"")"),116090)</f>
        <v>116090</v>
      </c>
      <c r="M361" s="427">
        <f ca="1">IFERROR(__xludf.DUMMYFUNCTION("IMPORTRANGE(""https://docs.google.com/spreadsheets/d/1-uDff_7J0KD5mKrp0Vvzr7lt3OU09vwQwhkpOPPYv2Y/edit?usp=sharing"",""งบพรบ!FH59"")"),90090)</f>
        <v>90090</v>
      </c>
      <c r="N361" s="427">
        <f ca="1">IFERROR(__xludf.DUMMYFUNCTION("IMPORTRANGE(""https://docs.google.com/spreadsheets/d/1-uDff_7J0KD5mKrp0Vvzr7lt3OU09vwQwhkpOPPYv2Y/edit?usp=sharing"",""งบพรบ!FJ59"")"),25132)</f>
        <v>25132</v>
      </c>
      <c r="O361" s="427">
        <f t="shared" ca="1" si="48"/>
        <v>21.648720820053406</v>
      </c>
      <c r="P361" s="427">
        <f t="shared" ca="1" si="49"/>
        <v>27.896547896547897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IFERROR(__xludf.DUMMYFUNCTION("IMPORTRANGE(""https://docs.google.com/spreadsheets/d/1-uDff_7J0KD5mKrp0Vvzr7lt3OU09vwQwhkpOPPYv2Y/edit?usp=sharing"",""งบพรบ!FF59"")"),0)</f>
        <v>0</v>
      </c>
      <c r="M364" s="427">
        <f ca="1">IFERROR(__xludf.DUMMYFUNCTION("IMPORTRANGE(""https://docs.google.com/spreadsheets/d/1-uDff_7J0KD5mKrp0Vvzr7lt3OU09vwQwhkpOPPYv2Y/edit?usp=sharing"",""งบพรบ!FI59"")"),0)</f>
        <v>0</v>
      </c>
      <c r="N364" s="427">
        <f ca="1">IFERROR(__xludf.DUMMYFUNCTION("IMPORTRANGE(""https://docs.google.com/spreadsheets/d/1-uDff_7J0KD5mKrp0Vvzr7lt3OU09vwQwhkpOPPYv2Y/edit?usp=sharing"",""งบพรบ!FK59"")"),0)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9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IFERROR(__xludf.DUMMYFUNCTION("IMPORTRANGE(""https://docs.google.com/spreadsheets/d/1tdoBKaGub7dwA3U6UFTqxio9LNnvDCQjHKmttSEBsFQ/edit?usp=sharing"",""จัดที่ดิน!AB59"")"),0)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IFERROR(__xludf.DUMMYFUNCTION("IMPORTRANGE(""https://docs.google.com/spreadsheets/d/1eHaY18a8A9IcSdp1K8H6x8fbOy06t2VsZHhMHf-1x7Y/edit?usp=sharing"",""แผน!EW59"")"),0)</f>
        <v>0</v>
      </c>
      <c r="J368" s="704">
        <f ca="1">IFERROR(__xludf.DUMMYFUNCTION("IMPORTRANGE(""https://docs.google.com/spreadsheets/d/1tdoBKaGub7dwA3U6UFTqxio9LNnvDCQjHKmttSEBsFQ/edit?usp=sharing"",""จัดที่ดิน!AC59"")"),0)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IFERROR(__xludf.DUMMYFUNCTION("IMPORTRANGE(""https://docs.google.com/spreadsheets/d/1eHaY18a8A9IcSdp1K8H6x8fbOy06t2VsZHhMHf-1x7Y/edit?usp=sharing"",""แผน!EX59"")"),0)</f>
        <v>0</v>
      </c>
      <c r="J369" s="426">
        <f ca="1">IFERROR(__xludf.DUMMYFUNCTION("IMPORTRANGE(""https://docs.google.com/spreadsheets/d/1tdoBKaGub7dwA3U6UFTqxio9LNnvDCQjHKmttSEBsFQ/edit?usp=sharing"",""จัดที่ดิน!AD59"")"),0)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IFERROR(__xludf.DUMMYFUNCTION("IMPORTRANGE(""https://docs.google.com/spreadsheets/d/1tdoBKaGub7dwA3U6UFTqxio9LNnvDCQjHKmttSEBsFQ/edit?usp=sharing"",""จัดที่ดิน!AE59"")"),0)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IFERROR(__xludf.DUMMYFUNCTION("IMPORTRANGE(""https://docs.google.com/spreadsheets/d/1eHaY18a8A9IcSdp1K8H6x8fbOy06t2VsZHhMHf-1x7Y/edit?usp=sharing"",""แผน!EY59"")"),9)</f>
        <v>9</v>
      </c>
      <c r="J371" s="426">
        <f ca="1">IFERROR(__xludf.DUMMYFUNCTION("IMPORTRANGE(""https://docs.google.com/spreadsheets/d/1tdoBKaGub7dwA3U6UFTqxio9LNnvDCQjHKmttSEBsFQ/edit?usp=sharing"",""จัดที่ดิน!AF59"")"),0)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IFERROR(__xludf.DUMMYFUNCTION("IMPORTRANGE(""https://docs.google.com/spreadsheets/d/1tdoBKaGub7dwA3U6UFTqxio9LNnvDCQjHKmttSEBsFQ/edit?usp=sharing"",""จัดที่ดิน!AG59"")"),0)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IFERROR(__xludf.DUMMYFUNCTION("IMPORTRANGE(""https://docs.google.com/spreadsheets/d/1-uDff_7J0KD5mKrp0Vvzr7lt3OU09vwQwhkpOPPYv2Y/edit?usp=sharing"",""งบพรบ!FM59"")"),0)</f>
        <v>0</v>
      </c>
      <c r="M382" s="502">
        <f ca="1">IFERROR(__xludf.DUMMYFUNCTION("IMPORTRANGE(""https://docs.google.com/spreadsheets/d/1-uDff_7J0KD5mKrp0Vvzr7lt3OU09vwQwhkpOPPYv2Y/edit?usp=sharing"",""งบพรบ!FR59"")"),0)</f>
        <v>0</v>
      </c>
      <c r="N382" s="502">
        <f ca="1">IFERROR(__xludf.DUMMYFUNCTION("IMPORTRANGE(""https://docs.google.com/spreadsheets/d/1-uDff_7J0KD5mKrp0Vvzr7lt3OU09vwQwhkpOPPYv2Y/edit?usp=sharing"",""งบพรบ!FT59"")"),0)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IFERROR(__xludf.DUMMYFUNCTION("IMPORTRANGE(""https://docs.google.com/spreadsheets/d/1-uDff_7J0KD5mKrp0Vvzr7lt3OU09vwQwhkpOPPYv2Y/edit?usp=sharing"",""งบพรบ!FP59"")"),0)</f>
        <v>0</v>
      </c>
      <c r="M385" s="502">
        <f ca="1">IFERROR(__xludf.DUMMYFUNCTION("IMPORTRANGE(""https://docs.google.com/spreadsheets/d/1-uDff_7J0KD5mKrp0Vvzr7lt3OU09vwQwhkpOPPYv2Y/edit?usp=sharing"",""งบพรบ!FS59"")"),0)</f>
        <v>0</v>
      </c>
      <c r="N385" s="502">
        <f ca="1">IFERROR(__xludf.DUMMYFUNCTION("IMPORTRANGE(""https://docs.google.com/spreadsheets/d/1-uDff_7J0KD5mKrp0Vvzr7lt3OU09vwQwhkpOPPYv2Y/edit?usp=sharing"",""งบพรบ!FU59"")"),0)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3" orientation="portrait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5C79E-D04D-4759-9A93-23B932B43435}">
  <sheetPr>
    <outlinePr summaryBelow="0" summaryRight="0"/>
  </sheetPr>
  <dimension ref="A1:P391"/>
  <sheetViews>
    <sheetView tabSelected="1" view="pageBreakPreview" zoomScale="60" zoomScaleNormal="60" workbookViewId="0">
      <pane xSplit="8" ySplit="6" topLeftCell="I7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</row>
    <row r="2" spans="1:16" ht="19.5" x14ac:dyDescent="0.3">
      <c r="A2" s="1115" t="s">
        <v>259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</row>
    <row r="3" spans="1:16" ht="19.5" x14ac:dyDescent="0.3">
      <c r="A3" s="1115" t="s">
        <v>275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</row>
    <row r="4" spans="1:16" ht="12.75" x14ac:dyDescent="0.2">
      <c r="A4" s="629"/>
      <c r="B4" s="629"/>
      <c r="C4" s="629"/>
      <c r="D4" s="629"/>
      <c r="E4" s="629"/>
      <c r="F4" s="629"/>
      <c r="G4" s="629"/>
      <c r="H4" s="629"/>
      <c r="I4" s="629"/>
      <c r="J4" s="676"/>
      <c r="K4" s="965"/>
      <c r="L4" s="676"/>
      <c r="M4" s="676"/>
      <c r="N4" s="676"/>
      <c r="O4" s="629"/>
      <c r="P4" s="629"/>
    </row>
    <row r="5" spans="1:16" ht="19.5" x14ac:dyDescent="0.3">
      <c r="A5" s="1118" t="s">
        <v>2</v>
      </c>
      <c r="B5" s="1119"/>
      <c r="C5" s="1119"/>
      <c r="D5" s="1119"/>
      <c r="E5" s="1119"/>
      <c r="F5" s="1119"/>
      <c r="G5" s="1120"/>
      <c r="H5" s="964" t="s">
        <v>3</v>
      </c>
      <c r="I5" s="1121" t="s">
        <v>4</v>
      </c>
      <c r="J5" s="1098"/>
      <c r="K5" s="1099"/>
      <c r="L5" s="1116" t="s">
        <v>5</v>
      </c>
      <c r="M5" s="1099"/>
      <c r="N5" s="1117" t="s">
        <v>6</v>
      </c>
      <c r="O5" s="1098"/>
      <c r="P5" s="1099"/>
    </row>
    <row r="6" spans="1:16" ht="39" x14ac:dyDescent="0.3">
      <c r="A6" s="1097"/>
      <c r="B6" s="1098"/>
      <c r="C6" s="1098"/>
      <c r="D6" s="1098"/>
      <c r="E6" s="1098"/>
      <c r="F6" s="1098"/>
      <c r="G6" s="1099"/>
      <c r="H6" s="963"/>
      <c r="I6" s="961" t="s">
        <v>7</v>
      </c>
      <c r="J6" s="962" t="s">
        <v>8</v>
      </c>
      <c r="K6" s="961" t="s">
        <v>9</v>
      </c>
      <c r="L6" s="960" t="s">
        <v>10</v>
      </c>
      <c r="M6" s="959" t="s">
        <v>11</v>
      </c>
      <c r="N6" s="958" t="s">
        <v>12</v>
      </c>
      <c r="O6" s="957" t="s">
        <v>13</v>
      </c>
      <c r="P6" s="956" t="s">
        <v>14</v>
      </c>
    </row>
    <row r="7" spans="1:16" ht="12.75" hidden="1" x14ac:dyDescent="0.2">
      <c r="A7" s="1110"/>
      <c r="B7" s="1098"/>
      <c r="C7" s="1098"/>
      <c r="D7" s="1098"/>
      <c r="E7" s="1098"/>
      <c r="F7" s="1098"/>
      <c r="G7" s="1099"/>
      <c r="H7" s="756"/>
      <c r="I7" s="754"/>
      <c r="J7" s="754"/>
      <c r="K7" s="753"/>
      <c r="L7" s="753"/>
      <c r="M7" s="753"/>
      <c r="N7" s="753"/>
      <c r="O7" s="753"/>
      <c r="P7" s="753"/>
    </row>
    <row r="8" spans="1:16" ht="12.75" hidden="1" x14ac:dyDescent="0.2">
      <c r="A8" s="929"/>
      <c r="B8" s="764"/>
      <c r="C8" s="764"/>
      <c r="D8" s="764"/>
      <c r="E8" s="764"/>
      <c r="F8" s="764"/>
      <c r="G8" s="763"/>
      <c r="H8" s="763"/>
      <c r="I8" s="761"/>
      <c r="J8" s="761"/>
      <c r="K8" s="760"/>
      <c r="L8" s="760"/>
      <c r="M8" s="760"/>
      <c r="N8" s="760"/>
      <c r="O8" s="760"/>
      <c r="P8" s="760"/>
    </row>
    <row r="9" spans="1:16" ht="12.75" hidden="1" x14ac:dyDescent="0.2">
      <c r="A9" s="929"/>
      <c r="B9" s="764"/>
      <c r="C9" s="764"/>
      <c r="D9" s="764"/>
      <c r="E9" s="764"/>
      <c r="F9" s="764"/>
      <c r="G9" s="763"/>
      <c r="H9" s="763"/>
      <c r="I9" s="761"/>
      <c r="J9" s="761"/>
      <c r="K9" s="760"/>
      <c r="L9" s="760"/>
      <c r="M9" s="760"/>
      <c r="N9" s="760"/>
      <c r="O9" s="760"/>
      <c r="P9" s="760"/>
    </row>
    <row r="10" spans="1:16" ht="12.75" hidden="1" x14ac:dyDescent="0.2">
      <c r="A10" s="929"/>
      <c r="B10" s="764"/>
      <c r="C10" s="764"/>
      <c r="D10" s="764"/>
      <c r="E10" s="764"/>
      <c r="F10" s="764"/>
      <c r="G10" s="763"/>
      <c r="H10" s="763"/>
      <c r="I10" s="761"/>
      <c r="J10" s="761"/>
      <c r="K10" s="760"/>
      <c r="L10" s="760"/>
      <c r="M10" s="760"/>
      <c r="N10" s="760"/>
      <c r="O10" s="760"/>
      <c r="P10" s="760"/>
    </row>
    <row r="11" spans="1:16" ht="12.75" hidden="1" x14ac:dyDescent="0.2">
      <c r="A11" s="929"/>
      <c r="B11" s="764"/>
      <c r="C11" s="764"/>
      <c r="D11" s="764"/>
      <c r="E11" s="764"/>
      <c r="F11" s="764"/>
      <c r="G11" s="763"/>
      <c r="H11" s="763"/>
      <c r="I11" s="761"/>
      <c r="J11" s="761"/>
      <c r="K11" s="760"/>
      <c r="L11" s="760"/>
      <c r="M11" s="760"/>
      <c r="N11" s="760"/>
      <c r="O11" s="760"/>
      <c r="P11" s="760"/>
    </row>
    <row r="12" spans="1:16" ht="12.75" hidden="1" x14ac:dyDescent="0.2">
      <c r="A12" s="929"/>
      <c r="B12" s="764"/>
      <c r="C12" s="764"/>
      <c r="D12" s="764"/>
      <c r="E12" s="764"/>
      <c r="F12" s="764"/>
      <c r="G12" s="763"/>
      <c r="H12" s="763"/>
      <c r="I12" s="761"/>
      <c r="J12" s="761"/>
      <c r="K12" s="760"/>
      <c r="L12" s="760"/>
      <c r="M12" s="760"/>
      <c r="N12" s="760"/>
      <c r="O12" s="760"/>
      <c r="P12" s="760"/>
    </row>
    <row r="13" spans="1:16" ht="12.75" hidden="1" x14ac:dyDescent="0.2">
      <c r="A13" s="929"/>
      <c r="B13" s="764"/>
      <c r="C13" s="764"/>
      <c r="D13" s="764"/>
      <c r="E13" s="764"/>
      <c r="F13" s="764"/>
      <c r="G13" s="763"/>
      <c r="H13" s="763"/>
      <c r="I13" s="761"/>
      <c r="J13" s="761"/>
      <c r="K13" s="760"/>
      <c r="L13" s="760"/>
      <c r="M13" s="760"/>
      <c r="N13" s="760"/>
      <c r="O13" s="760"/>
      <c r="P13" s="760"/>
    </row>
    <row r="14" spans="1:16" ht="12.75" hidden="1" x14ac:dyDescent="0.2">
      <c r="A14" s="929"/>
      <c r="B14" s="764"/>
      <c r="C14" s="764"/>
      <c r="D14" s="764"/>
      <c r="E14" s="764"/>
      <c r="F14" s="764"/>
      <c r="G14" s="763"/>
      <c r="H14" s="763"/>
      <c r="I14" s="761"/>
      <c r="J14" s="761"/>
      <c r="K14" s="760"/>
      <c r="L14" s="760"/>
      <c r="M14" s="760"/>
      <c r="N14" s="760"/>
      <c r="O14" s="760"/>
      <c r="P14" s="760"/>
    </row>
    <row r="15" spans="1:16" ht="12.75" hidden="1" x14ac:dyDescent="0.2">
      <c r="A15" s="929"/>
      <c r="B15" s="764"/>
      <c r="C15" s="764"/>
      <c r="D15" s="764"/>
      <c r="E15" s="764"/>
      <c r="F15" s="764"/>
      <c r="G15" s="763"/>
      <c r="H15" s="763"/>
      <c r="I15" s="761"/>
      <c r="J15" s="761"/>
      <c r="K15" s="760"/>
      <c r="L15" s="760"/>
      <c r="M15" s="760"/>
      <c r="N15" s="760"/>
      <c r="O15" s="760"/>
      <c r="P15" s="760"/>
    </row>
    <row r="16" spans="1:16" ht="12.75" hidden="1" x14ac:dyDescent="0.2">
      <c r="A16" s="946"/>
      <c r="B16" s="757"/>
      <c r="C16" s="757"/>
      <c r="D16" s="757"/>
      <c r="E16" s="757"/>
      <c r="F16" s="757"/>
      <c r="G16" s="756"/>
      <c r="H16" s="756"/>
      <c r="I16" s="754"/>
      <c r="J16" s="754"/>
      <c r="K16" s="753"/>
      <c r="L16" s="753"/>
      <c r="M16" s="753"/>
      <c r="N16" s="753"/>
      <c r="O16" s="753"/>
      <c r="P16" s="753"/>
    </row>
    <row r="17" spans="1:16" ht="19.5" x14ac:dyDescent="0.3">
      <c r="A17" s="1111" t="s">
        <v>15</v>
      </c>
      <c r="B17" s="1098"/>
      <c r="C17" s="1098"/>
      <c r="D17" s="1098"/>
      <c r="E17" s="1098"/>
      <c r="F17" s="1098"/>
      <c r="G17" s="1099"/>
      <c r="H17" s="955"/>
      <c r="I17" s="954"/>
      <c r="J17" s="954"/>
      <c r="K17" s="953"/>
      <c r="L17" s="953"/>
      <c r="M17" s="953"/>
      <c r="N17" s="953"/>
      <c r="O17" s="953"/>
      <c r="P17" s="953"/>
    </row>
    <row r="18" spans="1:16" ht="19.5" x14ac:dyDescent="0.3">
      <c r="A18" s="950"/>
      <c r="B18" s="847"/>
      <c r="C18" s="848" t="s">
        <v>16</v>
      </c>
      <c r="D18" s="952" t="s">
        <v>17</v>
      </c>
      <c r="E18" s="847"/>
      <c r="F18" s="847"/>
      <c r="G18" s="846"/>
      <c r="H18" s="951" t="s">
        <v>12</v>
      </c>
      <c r="I18" s="862"/>
      <c r="J18" s="862"/>
      <c r="K18" s="842"/>
      <c r="L18" s="843">
        <f ca="1">L19+L20</f>
        <v>1233495</v>
      </c>
      <c r="M18" s="843">
        <f ca="1">M19+M20</f>
        <v>992845</v>
      </c>
      <c r="N18" s="843">
        <f ca="1">N19+N20</f>
        <v>373720.14</v>
      </c>
      <c r="O18" s="843">
        <f t="shared" ref="O18:O26" ca="1" si="0">IF(L18&gt;0,N18*100/L18,0)</f>
        <v>30.297661522746342</v>
      </c>
      <c r="P18" s="843">
        <f t="shared" ref="P18:P26" ca="1" si="1">IF(M18&gt;0,N18*100/M18,0)</f>
        <v>37.641337771756923</v>
      </c>
    </row>
    <row r="19" spans="1:16" ht="18.75" hidden="1" x14ac:dyDescent="0.25">
      <c r="A19" s="950"/>
      <c r="B19" s="847"/>
      <c r="C19" s="847"/>
      <c r="D19" s="847"/>
      <c r="E19" s="667" t="s">
        <v>18</v>
      </c>
      <c r="F19" s="847"/>
      <c r="G19" s="846"/>
      <c r="H19" s="664" t="s">
        <v>12</v>
      </c>
      <c r="I19" s="862"/>
      <c r="J19" s="862"/>
      <c r="K19" s="842"/>
      <c r="L19" s="661">
        <f t="shared" ref="L19:N20" si="2">L22+L25</f>
        <v>0</v>
      </c>
      <c r="M19" s="661">
        <f t="shared" si="2"/>
        <v>0</v>
      </c>
      <c r="N19" s="661">
        <f t="shared" si="2"/>
        <v>0</v>
      </c>
      <c r="O19" s="661">
        <f t="shared" si="0"/>
        <v>0</v>
      </c>
      <c r="P19" s="661">
        <f t="shared" si="1"/>
        <v>0</v>
      </c>
    </row>
    <row r="20" spans="1:16" ht="18.75" x14ac:dyDescent="0.25">
      <c r="A20" s="950"/>
      <c r="B20" s="847"/>
      <c r="C20" s="847"/>
      <c r="D20" s="847"/>
      <c r="E20" s="949" t="s">
        <v>19</v>
      </c>
      <c r="F20" s="847"/>
      <c r="G20" s="846"/>
      <c r="H20" s="948" t="s">
        <v>12</v>
      </c>
      <c r="I20" s="862"/>
      <c r="J20" s="862"/>
      <c r="K20" s="842"/>
      <c r="L20" s="947">
        <f t="shared" ca="1" si="2"/>
        <v>1233495</v>
      </c>
      <c r="M20" s="947">
        <f t="shared" ca="1" si="2"/>
        <v>992845</v>
      </c>
      <c r="N20" s="947">
        <f t="shared" ca="1" si="2"/>
        <v>373720.14</v>
      </c>
      <c r="O20" s="947">
        <f t="shared" ca="1" si="0"/>
        <v>30.297661522746342</v>
      </c>
      <c r="P20" s="947">
        <f t="shared" ca="1" si="1"/>
        <v>37.641337771756923</v>
      </c>
    </row>
    <row r="21" spans="1:16" ht="18.75" x14ac:dyDescent="0.25">
      <c r="A21" s="632"/>
      <c r="B21" s="420"/>
      <c r="C21" s="420"/>
      <c r="D21" s="713" t="s">
        <v>20</v>
      </c>
      <c r="E21" s="420"/>
      <c r="F21" s="420"/>
      <c r="G21" s="424"/>
      <c r="H21" s="825" t="s">
        <v>12</v>
      </c>
      <c r="I21" s="429"/>
      <c r="J21" s="429"/>
      <c r="K21" s="430"/>
      <c r="L21" s="427">
        <f ca="1">L22+L23</f>
        <v>1233495</v>
      </c>
      <c r="M21" s="427">
        <f ca="1">M22+M23</f>
        <v>992845</v>
      </c>
      <c r="N21" s="427">
        <f ca="1">N22+N23</f>
        <v>373720.14</v>
      </c>
      <c r="O21" s="427">
        <f t="shared" ca="1" si="0"/>
        <v>30.297661522746342</v>
      </c>
      <c r="P21" s="427">
        <f t="shared" ca="1" si="1"/>
        <v>37.641337771756923</v>
      </c>
    </row>
    <row r="22" spans="1:16" ht="18.75" hidden="1" x14ac:dyDescent="0.25">
      <c r="A22" s="632"/>
      <c r="B22" s="420"/>
      <c r="C22" s="420"/>
      <c r="D22" s="420"/>
      <c r="E22" s="520" t="s">
        <v>18</v>
      </c>
      <c r="F22" s="420"/>
      <c r="G22" s="424"/>
      <c r="H22" s="559" t="s">
        <v>12</v>
      </c>
      <c r="I22" s="429"/>
      <c r="J22" s="429"/>
      <c r="K22" s="430"/>
      <c r="L22" s="502">
        <f t="shared" ref="L22:N23" si="3">L48+L63+L76+L98+L129+L143+L161+L190+L177+L270+L286+L307+L324+L337+L360+L381</f>
        <v>0</v>
      </c>
      <c r="M22" s="502">
        <f t="shared" si="3"/>
        <v>0</v>
      </c>
      <c r="N22" s="502">
        <f t="shared" si="3"/>
        <v>0</v>
      </c>
      <c r="O22" s="502">
        <f t="shared" si="0"/>
        <v>0</v>
      </c>
      <c r="P22" s="502">
        <f t="shared" si="1"/>
        <v>0</v>
      </c>
    </row>
    <row r="23" spans="1:16" ht="18.75" x14ac:dyDescent="0.25">
      <c r="A23" s="632"/>
      <c r="B23" s="420"/>
      <c r="C23" s="420"/>
      <c r="D23" s="420"/>
      <c r="E23" s="295" t="s">
        <v>19</v>
      </c>
      <c r="F23" s="420"/>
      <c r="G23" s="424"/>
      <c r="H23" s="825" t="s">
        <v>12</v>
      </c>
      <c r="I23" s="429"/>
      <c r="J23" s="429"/>
      <c r="K23" s="430"/>
      <c r="L23" s="427">
        <f t="shared" ca="1" si="3"/>
        <v>1233495</v>
      </c>
      <c r="M23" s="427">
        <f t="shared" ca="1" si="3"/>
        <v>992845</v>
      </c>
      <c r="N23" s="427">
        <f t="shared" ca="1" si="3"/>
        <v>373720.14</v>
      </c>
      <c r="O23" s="427">
        <f t="shared" ca="1" si="0"/>
        <v>30.297661522746342</v>
      </c>
      <c r="P23" s="427">
        <f t="shared" ca="1" si="1"/>
        <v>37.641337771756923</v>
      </c>
    </row>
    <row r="24" spans="1:16" ht="18.75" x14ac:dyDescent="0.25">
      <c r="A24" s="632"/>
      <c r="B24" s="420"/>
      <c r="C24" s="420"/>
      <c r="D24" s="713" t="s">
        <v>21</v>
      </c>
      <c r="E24" s="420"/>
      <c r="F24" s="420"/>
      <c r="G24" s="424"/>
      <c r="H24" s="825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t="shared" ca="1" si="0"/>
        <v>0</v>
      </c>
      <c r="P24" s="427">
        <f t="shared" ca="1" si="1"/>
        <v>0</v>
      </c>
    </row>
    <row r="25" spans="1:16" ht="18.75" hidden="1" x14ac:dyDescent="0.25">
      <c r="A25" s="632"/>
      <c r="B25" s="420"/>
      <c r="C25" s="420"/>
      <c r="D25" s="420"/>
      <c r="E25" s="520" t="s">
        <v>18</v>
      </c>
      <c r="F25" s="420"/>
      <c r="G25" s="424"/>
      <c r="H25" s="559" t="s">
        <v>12</v>
      </c>
      <c r="I25" s="429"/>
      <c r="J25" s="429"/>
      <c r="K25" s="430"/>
      <c r="L25" s="502">
        <f t="shared" ref="L25:N26" si="4">L51+L66+L79+L101+L132+L146+L164+L193+L180+L273+L289+L310+L327+L340+L363+L384</f>
        <v>0</v>
      </c>
      <c r="M25" s="502">
        <f t="shared" si="4"/>
        <v>0</v>
      </c>
      <c r="N25" s="502">
        <f t="shared" si="4"/>
        <v>0</v>
      </c>
      <c r="O25" s="502">
        <f t="shared" si="0"/>
        <v>0</v>
      </c>
      <c r="P25" s="502">
        <f t="shared" si="1"/>
        <v>0</v>
      </c>
    </row>
    <row r="26" spans="1:16" ht="18.75" x14ac:dyDescent="0.25">
      <c r="A26" s="632"/>
      <c r="B26" s="420"/>
      <c r="C26" s="420"/>
      <c r="D26" s="420"/>
      <c r="E26" s="295" t="s">
        <v>19</v>
      </c>
      <c r="F26" s="420"/>
      <c r="G26" s="424"/>
      <c r="H26" s="825" t="s">
        <v>12</v>
      </c>
      <c r="I26" s="429"/>
      <c r="J26" s="429"/>
      <c r="K26" s="430"/>
      <c r="L26" s="427">
        <f t="shared" ca="1" si="4"/>
        <v>0</v>
      </c>
      <c r="M26" s="427">
        <f t="shared" ca="1" si="4"/>
        <v>0</v>
      </c>
      <c r="N26" s="427">
        <f t="shared" ca="1" si="4"/>
        <v>0</v>
      </c>
      <c r="O26" s="427">
        <f t="shared" ca="1" si="0"/>
        <v>0</v>
      </c>
      <c r="P26" s="427">
        <f t="shared" ca="1" si="1"/>
        <v>0</v>
      </c>
    </row>
    <row r="27" spans="1:16" ht="18.75" hidden="1" x14ac:dyDescent="0.25">
      <c r="A27" s="632"/>
      <c r="B27" s="420"/>
      <c r="C27" s="420"/>
      <c r="D27" s="713" t="s">
        <v>22</v>
      </c>
      <c r="E27" s="420"/>
      <c r="F27" s="420"/>
      <c r="G27" s="424"/>
      <c r="H27" s="825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32"/>
      <c r="B28" s="420"/>
      <c r="C28" s="420"/>
      <c r="D28" s="420"/>
      <c r="E28" s="520" t="s">
        <v>18</v>
      </c>
      <c r="F28" s="420"/>
      <c r="G28" s="424"/>
      <c r="H28" s="559" t="s">
        <v>12</v>
      </c>
      <c r="I28" s="429"/>
      <c r="J28" s="429"/>
      <c r="K28" s="430"/>
      <c r="L28" s="502"/>
      <c r="M28" s="502"/>
      <c r="N28" s="502"/>
      <c r="O28" s="502"/>
      <c r="P28" s="502"/>
    </row>
    <row r="29" spans="1:16" ht="18.75" hidden="1" x14ac:dyDescent="0.25">
      <c r="A29" s="631"/>
      <c r="B29" s="629"/>
      <c r="C29" s="629"/>
      <c r="D29" s="629"/>
      <c r="E29" s="630" t="s">
        <v>19</v>
      </c>
      <c r="F29" s="629"/>
      <c r="G29" s="628"/>
      <c r="H29" s="627" t="s">
        <v>12</v>
      </c>
      <c r="I29" s="626"/>
      <c r="J29" s="626"/>
      <c r="K29" s="625"/>
      <c r="L29" s="624"/>
      <c r="M29" s="624"/>
      <c r="N29" s="624"/>
      <c r="O29" s="624"/>
      <c r="P29" s="624"/>
    </row>
    <row r="30" spans="1:16" ht="12.75" hidden="1" x14ac:dyDescent="0.2">
      <c r="A30" s="1112"/>
      <c r="B30" s="1098"/>
      <c r="C30" s="1098"/>
      <c r="D30" s="1098"/>
      <c r="E30" s="1098"/>
      <c r="F30" s="1098"/>
      <c r="G30" s="1099"/>
      <c r="H30" s="756"/>
      <c r="I30" s="754"/>
      <c r="J30" s="754"/>
      <c r="K30" s="753"/>
      <c r="L30" s="753"/>
      <c r="M30" s="753"/>
      <c r="N30" s="753"/>
      <c r="O30" s="753"/>
      <c r="P30" s="753"/>
    </row>
    <row r="31" spans="1:16" ht="12.75" hidden="1" x14ac:dyDescent="0.2">
      <c r="A31" s="929"/>
      <c r="B31" s="764"/>
      <c r="C31" s="764"/>
      <c r="D31" s="764"/>
      <c r="E31" s="764"/>
      <c r="F31" s="764"/>
      <c r="G31" s="763"/>
      <c r="H31" s="763"/>
      <c r="I31" s="761"/>
      <c r="J31" s="761"/>
      <c r="K31" s="760"/>
      <c r="L31" s="760"/>
      <c r="M31" s="760"/>
      <c r="N31" s="760"/>
      <c r="O31" s="760"/>
      <c r="P31" s="760"/>
    </row>
    <row r="32" spans="1:16" ht="12.75" hidden="1" x14ac:dyDescent="0.2">
      <c r="A32" s="929"/>
      <c r="B32" s="764"/>
      <c r="C32" s="764"/>
      <c r="D32" s="764"/>
      <c r="E32" s="764"/>
      <c r="F32" s="764"/>
      <c r="G32" s="763"/>
      <c r="H32" s="763"/>
      <c r="I32" s="761"/>
      <c r="J32" s="761"/>
      <c r="K32" s="760"/>
      <c r="L32" s="760"/>
      <c r="M32" s="760"/>
      <c r="N32" s="760"/>
      <c r="O32" s="760"/>
      <c r="P32" s="760"/>
    </row>
    <row r="33" spans="1:16" ht="12.75" hidden="1" x14ac:dyDescent="0.2">
      <c r="A33" s="929"/>
      <c r="B33" s="764"/>
      <c r="C33" s="764"/>
      <c r="D33" s="764"/>
      <c r="E33" s="764"/>
      <c r="F33" s="764"/>
      <c r="G33" s="763"/>
      <c r="H33" s="763"/>
      <c r="I33" s="761"/>
      <c r="J33" s="761"/>
      <c r="K33" s="760"/>
      <c r="L33" s="760"/>
      <c r="M33" s="760"/>
      <c r="N33" s="760"/>
      <c r="O33" s="760"/>
      <c r="P33" s="760"/>
    </row>
    <row r="34" spans="1:16" ht="12.75" hidden="1" x14ac:dyDescent="0.2">
      <c r="A34" s="929"/>
      <c r="B34" s="764"/>
      <c r="C34" s="764"/>
      <c r="D34" s="764"/>
      <c r="E34" s="764"/>
      <c r="F34" s="764"/>
      <c r="G34" s="763"/>
      <c r="H34" s="763"/>
      <c r="I34" s="761"/>
      <c r="J34" s="761"/>
      <c r="K34" s="760"/>
      <c r="L34" s="760"/>
      <c r="M34" s="760"/>
      <c r="N34" s="760"/>
      <c r="O34" s="760"/>
      <c r="P34" s="760"/>
    </row>
    <row r="35" spans="1:16" ht="12.75" hidden="1" x14ac:dyDescent="0.2">
      <c r="A35" s="929"/>
      <c r="B35" s="764"/>
      <c r="C35" s="764"/>
      <c r="D35" s="764"/>
      <c r="E35" s="764"/>
      <c r="F35" s="764"/>
      <c r="G35" s="763"/>
      <c r="H35" s="763"/>
      <c r="I35" s="761"/>
      <c r="J35" s="761"/>
      <c r="K35" s="760"/>
      <c r="L35" s="760"/>
      <c r="M35" s="760"/>
      <c r="N35" s="760"/>
      <c r="O35" s="760"/>
      <c r="P35" s="760"/>
    </row>
    <row r="36" spans="1:16" ht="12.75" hidden="1" x14ac:dyDescent="0.2">
      <c r="A36" s="929"/>
      <c r="B36" s="764"/>
      <c r="C36" s="764"/>
      <c r="D36" s="764"/>
      <c r="E36" s="764"/>
      <c r="F36" s="764"/>
      <c r="G36" s="763"/>
      <c r="H36" s="763"/>
      <c r="I36" s="761"/>
      <c r="J36" s="761"/>
      <c r="K36" s="760"/>
      <c r="L36" s="760"/>
      <c r="M36" s="760"/>
      <c r="N36" s="760"/>
      <c r="O36" s="760"/>
      <c r="P36" s="760"/>
    </row>
    <row r="37" spans="1:16" ht="12.75" hidden="1" x14ac:dyDescent="0.2">
      <c r="A37" s="929"/>
      <c r="B37" s="764"/>
      <c r="C37" s="764"/>
      <c r="D37" s="764"/>
      <c r="E37" s="764"/>
      <c r="F37" s="764"/>
      <c r="G37" s="763"/>
      <c r="H37" s="763"/>
      <c r="I37" s="761"/>
      <c r="J37" s="761"/>
      <c r="K37" s="760"/>
      <c r="L37" s="760"/>
      <c r="M37" s="760"/>
      <c r="N37" s="760"/>
      <c r="O37" s="760"/>
      <c r="P37" s="760"/>
    </row>
    <row r="38" spans="1:16" ht="12.75" hidden="1" x14ac:dyDescent="0.2">
      <c r="A38" s="929"/>
      <c r="B38" s="764"/>
      <c r="C38" s="764"/>
      <c r="D38" s="764"/>
      <c r="E38" s="764"/>
      <c r="F38" s="764"/>
      <c r="G38" s="763"/>
      <c r="H38" s="763"/>
      <c r="I38" s="761"/>
      <c r="J38" s="761"/>
      <c r="K38" s="760"/>
      <c r="L38" s="760"/>
      <c r="M38" s="760"/>
      <c r="N38" s="760"/>
      <c r="O38" s="760"/>
      <c r="P38" s="760"/>
    </row>
    <row r="39" spans="1:16" ht="12.75" hidden="1" x14ac:dyDescent="0.2">
      <c r="A39" s="946"/>
      <c r="B39" s="757"/>
      <c r="C39" s="757"/>
      <c r="D39" s="757"/>
      <c r="E39" s="757"/>
      <c r="F39" s="757"/>
      <c r="G39" s="756"/>
      <c r="H39" s="756"/>
      <c r="I39" s="754"/>
      <c r="J39" s="754"/>
      <c r="K39" s="753"/>
      <c r="L39" s="753"/>
      <c r="M39" s="753"/>
      <c r="N39" s="753"/>
      <c r="O39" s="753"/>
      <c r="P39" s="753"/>
    </row>
    <row r="40" spans="1:16" ht="19.5" hidden="1" x14ac:dyDescent="0.3">
      <c r="A40" s="945" t="s">
        <v>23</v>
      </c>
      <c r="B40" s="944"/>
      <c r="C40" s="944"/>
      <c r="D40" s="944"/>
      <c r="E40" s="944"/>
      <c r="F40" s="944"/>
      <c r="G40" s="943"/>
      <c r="H40" s="943"/>
      <c r="I40" s="942"/>
      <c r="J40" s="942"/>
      <c r="K40" s="941"/>
      <c r="L40" s="940">
        <f ca="1">L44+L59+L72+L94+L125+L139+L157+L173+L186+L266+L282+L303+L320+L333+L356</f>
        <v>1233495</v>
      </c>
      <c r="M40" s="940">
        <f ca="1">M44+M59+M72+M94+M125+M139+M157+M173+M186+M266+M282+M303+M320+M333+M356</f>
        <v>992845</v>
      </c>
      <c r="N40" s="940">
        <f ca="1">N44+N59+N72+N94+N125+N139+N157+N173+N186+N266+N282+N303+N320+N333+N356</f>
        <v>373720.14</v>
      </c>
      <c r="O40" s="940">
        <f ca="1">IF(L40&gt;0,N40*100/L40,0)</f>
        <v>30.297661522746342</v>
      </c>
      <c r="P40" s="940">
        <f ca="1">IF(M40&gt;0,N40*100/M40,0)</f>
        <v>37.641337771756923</v>
      </c>
    </row>
    <row r="41" spans="1:16" ht="19.5" x14ac:dyDescent="0.3">
      <c r="A41" s="939" t="s">
        <v>24</v>
      </c>
      <c r="B41" s="938"/>
      <c r="C41" s="938"/>
      <c r="D41" s="938"/>
      <c r="E41" s="938"/>
      <c r="F41" s="938"/>
      <c r="G41" s="938"/>
      <c r="H41" s="938"/>
      <c r="I41" s="937"/>
      <c r="J41" s="937"/>
      <c r="K41" s="936"/>
      <c r="L41" s="936"/>
      <c r="M41" s="936"/>
      <c r="N41" s="936"/>
      <c r="O41" s="936"/>
      <c r="P41" s="935"/>
    </row>
    <row r="42" spans="1:16" ht="19.5" x14ac:dyDescent="0.3">
      <c r="A42" s="933"/>
      <c r="B42" s="934" t="s">
        <v>25</v>
      </c>
      <c r="C42" s="933"/>
      <c r="D42" s="933"/>
      <c r="E42" s="933"/>
      <c r="F42" s="933"/>
      <c r="G42" s="932"/>
      <c r="H42" s="932"/>
      <c r="I42" s="931"/>
      <c r="J42" s="931"/>
      <c r="K42" s="930"/>
      <c r="L42" s="930"/>
      <c r="M42" s="930"/>
      <c r="N42" s="930"/>
      <c r="O42" s="930"/>
      <c r="P42" s="930"/>
    </row>
    <row r="43" spans="1:16" ht="12.75" hidden="1" x14ac:dyDescent="0.2">
      <c r="A43" s="929"/>
      <c r="B43" s="764"/>
      <c r="C43" s="764"/>
      <c r="D43" s="764"/>
      <c r="E43" s="764"/>
      <c r="F43" s="764"/>
      <c r="G43" s="763"/>
      <c r="H43" s="763"/>
      <c r="I43" s="761"/>
      <c r="J43" s="761"/>
      <c r="K43" s="760"/>
      <c r="L43" s="760"/>
      <c r="M43" s="760"/>
      <c r="N43" s="760"/>
      <c r="O43" s="760"/>
      <c r="P43" s="760"/>
    </row>
    <row r="44" spans="1:16" ht="19.5" x14ac:dyDescent="0.3">
      <c r="A44" s="924"/>
      <c r="B44" s="922"/>
      <c r="C44" s="928" t="s">
        <v>16</v>
      </c>
      <c r="D44" s="927" t="s">
        <v>17</v>
      </c>
      <c r="E44" s="922"/>
      <c r="F44" s="922"/>
      <c r="G44" s="921"/>
      <c r="H44" s="926" t="s">
        <v>12</v>
      </c>
      <c r="I44" s="919"/>
      <c r="J44" s="919"/>
      <c r="K44" s="918"/>
      <c r="L44" s="925">
        <f ca="1">L45+L46</f>
        <v>203250</v>
      </c>
      <c r="M44" s="925">
        <f ca="1">M45+M46</f>
        <v>214500</v>
      </c>
      <c r="N44" s="925">
        <f ca="1">N45+N46</f>
        <v>101950</v>
      </c>
      <c r="O44" s="925">
        <f t="shared" ref="O44:O52" ca="1" si="5">IF(L44&gt;0,N44*100/L44,0)</f>
        <v>50.159901599015988</v>
      </c>
      <c r="P44" s="925">
        <f t="shared" ref="P44:P52" ca="1" si="6">IF(M44&gt;0,N44*100/M44,0)</f>
        <v>47.529137529137529</v>
      </c>
    </row>
    <row r="45" spans="1:16" ht="18.75" hidden="1" x14ac:dyDescent="0.25">
      <c r="A45" s="924"/>
      <c r="B45" s="922"/>
      <c r="C45" s="922"/>
      <c r="D45" s="922"/>
      <c r="E45" s="647" t="s">
        <v>18</v>
      </c>
      <c r="F45" s="922"/>
      <c r="G45" s="921"/>
      <c r="H45" s="644" t="s">
        <v>12</v>
      </c>
      <c r="I45" s="919"/>
      <c r="J45" s="919"/>
      <c r="K45" s="918"/>
      <c r="L45" s="641">
        <f t="shared" ref="L45:N46" si="7">L48+L51</f>
        <v>0</v>
      </c>
      <c r="M45" s="641">
        <f t="shared" si="7"/>
        <v>0</v>
      </c>
      <c r="N45" s="641">
        <f t="shared" si="7"/>
        <v>0</v>
      </c>
      <c r="O45" s="641">
        <f t="shared" si="5"/>
        <v>0</v>
      </c>
      <c r="P45" s="641">
        <f t="shared" si="6"/>
        <v>0</v>
      </c>
    </row>
    <row r="46" spans="1:16" ht="18.75" x14ac:dyDescent="0.25">
      <c r="A46" s="924"/>
      <c r="B46" s="922"/>
      <c r="C46" s="922"/>
      <c r="D46" s="922"/>
      <c r="E46" s="923" t="s">
        <v>19</v>
      </c>
      <c r="F46" s="922"/>
      <c r="G46" s="921"/>
      <c r="H46" s="920" t="s">
        <v>12</v>
      </c>
      <c r="I46" s="919"/>
      <c r="J46" s="919"/>
      <c r="K46" s="918"/>
      <c r="L46" s="917">
        <f t="shared" ca="1" si="7"/>
        <v>203250</v>
      </c>
      <c r="M46" s="917">
        <f t="shared" ca="1" si="7"/>
        <v>214500</v>
      </c>
      <c r="N46" s="917">
        <f t="shared" ca="1" si="7"/>
        <v>101950</v>
      </c>
      <c r="O46" s="917">
        <f t="shared" ca="1" si="5"/>
        <v>50.159901599015988</v>
      </c>
      <c r="P46" s="917">
        <f t="shared" ca="1" si="6"/>
        <v>47.529137529137529</v>
      </c>
    </row>
    <row r="47" spans="1:16" ht="18.75" x14ac:dyDescent="0.25">
      <c r="A47" s="632"/>
      <c r="B47" s="420"/>
      <c r="C47" s="420"/>
      <c r="D47" s="713" t="s">
        <v>20</v>
      </c>
      <c r="E47" s="420"/>
      <c r="F47" s="420"/>
      <c r="G47" s="424"/>
      <c r="H47" s="825" t="s">
        <v>12</v>
      </c>
      <c r="I47" s="429"/>
      <c r="J47" s="429"/>
      <c r="K47" s="430"/>
      <c r="L47" s="427">
        <f ca="1">L48+L49</f>
        <v>203250</v>
      </c>
      <c r="M47" s="427">
        <f ca="1">M48+M49</f>
        <v>214500</v>
      </c>
      <c r="N47" s="427">
        <f ca="1">N48+N49</f>
        <v>101950</v>
      </c>
      <c r="O47" s="427">
        <f t="shared" ca="1" si="5"/>
        <v>50.159901599015988</v>
      </c>
      <c r="P47" s="427">
        <f t="shared" ca="1" si="6"/>
        <v>47.529137529137529</v>
      </c>
    </row>
    <row r="48" spans="1:16" ht="18.75" hidden="1" x14ac:dyDescent="0.25">
      <c r="A48" s="632"/>
      <c r="B48" s="420"/>
      <c r="C48" s="420"/>
      <c r="D48" s="420"/>
      <c r="E48" s="520" t="s">
        <v>18</v>
      </c>
      <c r="F48" s="420"/>
      <c r="G48" s="424"/>
      <c r="H48" s="559" t="s">
        <v>12</v>
      </c>
      <c r="I48" s="429"/>
      <c r="J48" s="429"/>
      <c r="K48" s="430"/>
      <c r="L48" s="502">
        <v>0</v>
      </c>
      <c r="M48" s="502">
        <v>0</v>
      </c>
      <c r="N48" s="502">
        <v>0</v>
      </c>
      <c r="O48" s="502">
        <f t="shared" si="5"/>
        <v>0</v>
      </c>
      <c r="P48" s="502">
        <f t="shared" si="6"/>
        <v>0</v>
      </c>
    </row>
    <row r="49" spans="1:16" ht="18.75" x14ac:dyDescent="0.25">
      <c r="A49" s="632"/>
      <c r="B49" s="420"/>
      <c r="C49" s="420"/>
      <c r="D49" s="420"/>
      <c r="E49" s="295" t="s">
        <v>19</v>
      </c>
      <c r="F49" s="420"/>
      <c r="G49" s="424"/>
      <c r="H49" s="825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IFERROR(__xludf.DUMMYFUNCTION("IMPORTRANGE(""https://docs.google.com/spreadsheets/d/1-uDff_7J0KD5mKrp0Vvzr7lt3OU09vwQwhkpOPPYv2Y/edit?usp=sharing"",""งบพรบ!P60"")"),203250)</f>
        <v>203250</v>
      </c>
      <c r="M49" s="427">
        <f ca="1">IFERROR(__xludf.DUMMYFUNCTION("IMPORTRANGE(""https://docs.google.com/spreadsheets/d/1-uDff_7J0KD5mKrp0Vvzr7lt3OU09vwQwhkpOPPYv2Y/edit?usp=sharing"",""งบพรบ!V60"")"),214500)</f>
        <v>214500</v>
      </c>
      <c r="N49" s="427">
        <f ca="1">IFERROR(__xludf.DUMMYFUNCTION("IMPORTRANGE(""https://docs.google.com/spreadsheets/d/1-uDff_7J0KD5mKrp0Vvzr7lt3OU09vwQwhkpOPPYv2Y/edit?usp=sharing"",""งบพรบ!Y60"")"),101950)</f>
        <v>101950</v>
      </c>
      <c r="O49" s="427">
        <f t="shared" ca="1" si="5"/>
        <v>50.159901599015988</v>
      </c>
      <c r="P49" s="427">
        <f t="shared" ca="1" si="6"/>
        <v>47.529137529137529</v>
      </c>
    </row>
    <row r="50" spans="1:16" ht="18.75" x14ac:dyDescent="0.25">
      <c r="A50" s="632"/>
      <c r="B50" s="420"/>
      <c r="C50" s="420"/>
      <c r="D50" s="713" t="s">
        <v>21</v>
      </c>
      <c r="E50" s="420"/>
      <c r="F50" s="420"/>
      <c r="G50" s="424"/>
      <c r="H50" s="825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t="shared" ca="1" si="5"/>
        <v>0</v>
      </c>
      <c r="P50" s="427">
        <f t="shared" ca="1" si="6"/>
        <v>0</v>
      </c>
    </row>
    <row r="51" spans="1:16" ht="18.75" hidden="1" x14ac:dyDescent="0.25">
      <c r="A51" s="632"/>
      <c r="B51" s="420"/>
      <c r="C51" s="420"/>
      <c r="D51" s="420"/>
      <c r="E51" s="520" t="s">
        <v>18</v>
      </c>
      <c r="F51" s="420"/>
      <c r="G51" s="424"/>
      <c r="H51" s="559" t="s">
        <v>12</v>
      </c>
      <c r="I51" s="429"/>
      <c r="J51" s="429"/>
      <c r="K51" s="430"/>
      <c r="L51" s="502">
        <v>0</v>
      </c>
      <c r="M51" s="502">
        <v>0</v>
      </c>
      <c r="N51" s="502">
        <v>0</v>
      </c>
      <c r="O51" s="502">
        <f t="shared" si="5"/>
        <v>0</v>
      </c>
      <c r="P51" s="502">
        <f t="shared" si="6"/>
        <v>0</v>
      </c>
    </row>
    <row r="52" spans="1:16" ht="18.75" x14ac:dyDescent="0.25">
      <c r="A52" s="632"/>
      <c r="B52" s="420"/>
      <c r="C52" s="420"/>
      <c r="D52" s="420"/>
      <c r="E52" s="295" t="s">
        <v>19</v>
      </c>
      <c r="F52" s="420"/>
      <c r="G52" s="424"/>
      <c r="H52" s="825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IFERROR(__xludf.DUMMYFUNCTION("IMPORTRANGE(""https://docs.google.com/spreadsheets/d/1-uDff_7J0KD5mKrp0Vvzr7lt3OU09vwQwhkpOPPYv2Y/edit?usp=sharing"",""งบพรบ!S60"")"),0)</f>
        <v>0</v>
      </c>
      <c r="M52" s="427">
        <f ca="1">IFERROR(__xludf.DUMMYFUNCTION("IMPORTRANGE(""https://docs.google.com/spreadsheets/d/1-uDff_7J0KD5mKrp0Vvzr7lt3OU09vwQwhkpOPPYv2Y/edit?usp=sharing"",""งบพรบ!W60"")"),0)</f>
        <v>0</v>
      </c>
      <c r="N52" s="427">
        <f ca="1">IFERROR(__xludf.DUMMYFUNCTION("IMPORTRANGE(""https://docs.google.com/spreadsheets/d/1-uDff_7J0KD5mKrp0Vvzr7lt3OU09vwQwhkpOPPYv2Y/edit?usp=sharing"",""งบพรบ!Z60"")"),0)</f>
        <v>0</v>
      </c>
      <c r="O52" s="427">
        <f t="shared" ca="1" si="5"/>
        <v>0</v>
      </c>
      <c r="P52" s="427">
        <f t="shared" ca="1" si="6"/>
        <v>0</v>
      </c>
    </row>
    <row r="53" spans="1:16" ht="18.75" hidden="1" x14ac:dyDescent="0.25">
      <c r="A53" s="632"/>
      <c r="B53" s="420"/>
      <c r="C53" s="420"/>
      <c r="D53" s="713" t="s">
        <v>22</v>
      </c>
      <c r="E53" s="420"/>
      <c r="F53" s="420"/>
      <c r="G53" s="424"/>
      <c r="H53" s="825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32"/>
      <c r="B54" s="420"/>
      <c r="C54" s="420"/>
      <c r="D54" s="420"/>
      <c r="E54" s="520" t="s">
        <v>18</v>
      </c>
      <c r="F54" s="420"/>
      <c r="G54" s="424"/>
      <c r="H54" s="559" t="s">
        <v>12</v>
      </c>
      <c r="I54" s="429"/>
      <c r="J54" s="429"/>
      <c r="K54" s="430"/>
      <c r="L54" s="502"/>
      <c r="M54" s="502"/>
      <c r="N54" s="502"/>
      <c r="O54" s="502"/>
      <c r="P54" s="502"/>
    </row>
    <row r="55" spans="1:16" ht="18.75" hidden="1" x14ac:dyDescent="0.25">
      <c r="A55" s="631"/>
      <c r="B55" s="629"/>
      <c r="C55" s="629"/>
      <c r="D55" s="629"/>
      <c r="E55" s="630" t="s">
        <v>19</v>
      </c>
      <c r="F55" s="629"/>
      <c r="G55" s="628"/>
      <c r="H55" s="627" t="s">
        <v>12</v>
      </c>
      <c r="I55" s="626"/>
      <c r="J55" s="626"/>
      <c r="K55" s="625"/>
      <c r="L55" s="624"/>
      <c r="M55" s="624"/>
      <c r="N55" s="624"/>
      <c r="O55" s="624"/>
      <c r="P55" s="624"/>
    </row>
    <row r="56" spans="1:16" ht="19.5" x14ac:dyDescent="0.3">
      <c r="A56" s="1113" t="s">
        <v>26</v>
      </c>
      <c r="B56" s="1098"/>
      <c r="C56" s="1098"/>
      <c r="D56" s="1098"/>
      <c r="E56" s="1098"/>
      <c r="F56" s="1098"/>
      <c r="G56" s="1099"/>
      <c r="H56" s="916"/>
      <c r="I56" s="915"/>
      <c r="J56" s="915"/>
      <c r="K56" s="914"/>
      <c r="L56" s="914"/>
      <c r="M56" s="914"/>
      <c r="N56" s="914"/>
      <c r="O56" s="914"/>
      <c r="P56" s="913"/>
    </row>
    <row r="57" spans="1:16" ht="19.5" x14ac:dyDescent="0.3">
      <c r="A57" s="912"/>
      <c r="B57" s="1114" t="s">
        <v>27</v>
      </c>
      <c r="C57" s="1106"/>
      <c r="D57" s="1106"/>
      <c r="E57" s="1106"/>
      <c r="F57" s="1106"/>
      <c r="G57" s="1107"/>
      <c r="H57" s="911"/>
      <c r="I57" s="910"/>
      <c r="J57" s="910"/>
      <c r="K57" s="909"/>
      <c r="L57" s="909"/>
      <c r="M57" s="909"/>
      <c r="N57" s="909"/>
      <c r="O57" s="909"/>
      <c r="P57" s="909"/>
    </row>
    <row r="58" spans="1:16" ht="19.5" x14ac:dyDescent="0.3">
      <c r="A58" s="908"/>
      <c r="B58" s="907" t="s">
        <v>28</v>
      </c>
      <c r="C58" s="906"/>
      <c r="D58" s="906"/>
      <c r="E58" s="906"/>
      <c r="F58" s="906"/>
      <c r="G58" s="905"/>
      <c r="H58" s="905"/>
      <c r="I58" s="904"/>
      <c r="J58" s="904"/>
      <c r="K58" s="903"/>
      <c r="L58" s="903"/>
      <c r="M58" s="903"/>
      <c r="N58" s="903"/>
      <c r="O58" s="903"/>
      <c r="P58" s="903"/>
    </row>
    <row r="59" spans="1:16" ht="19.5" x14ac:dyDescent="0.3">
      <c r="A59" s="898"/>
      <c r="B59" s="896"/>
      <c r="C59" s="902" t="s">
        <v>16</v>
      </c>
      <c r="D59" s="901" t="s">
        <v>17</v>
      </c>
      <c r="E59" s="896"/>
      <c r="F59" s="896"/>
      <c r="G59" s="895"/>
      <c r="H59" s="900" t="s">
        <v>12</v>
      </c>
      <c r="I59" s="893"/>
      <c r="J59" s="893"/>
      <c r="K59" s="892"/>
      <c r="L59" s="899">
        <f ca="1">L60+L61</f>
        <v>385800</v>
      </c>
      <c r="M59" s="899">
        <f ca="1">M60+M61</f>
        <v>291350</v>
      </c>
      <c r="N59" s="899">
        <f ca="1">N60+N61</f>
        <v>175862.14</v>
      </c>
      <c r="O59" s="899">
        <f t="shared" ref="O59:O67" ca="1" si="8">IF(L59&gt;0,N59*100/L59,0)</f>
        <v>45.583758424053912</v>
      </c>
      <c r="P59" s="899">
        <f t="shared" ref="P59:P67" ca="1" si="9">IF(M59&gt;0,N59*100/M59,0)</f>
        <v>60.361125793718898</v>
      </c>
    </row>
    <row r="60" spans="1:16" ht="18.75" hidden="1" x14ac:dyDescent="0.25">
      <c r="A60" s="898"/>
      <c r="B60" s="896"/>
      <c r="C60" s="896"/>
      <c r="D60" s="896"/>
      <c r="E60" s="621" t="s">
        <v>18</v>
      </c>
      <c r="F60" s="896"/>
      <c r="G60" s="895"/>
      <c r="H60" s="618" t="s">
        <v>12</v>
      </c>
      <c r="I60" s="893"/>
      <c r="J60" s="893"/>
      <c r="K60" s="892"/>
      <c r="L60" s="615">
        <f t="shared" ref="L60:N61" si="10">L63+L66</f>
        <v>0</v>
      </c>
      <c r="M60" s="615">
        <f t="shared" si="10"/>
        <v>0</v>
      </c>
      <c r="N60" s="615">
        <f t="shared" si="10"/>
        <v>0</v>
      </c>
      <c r="O60" s="615">
        <f t="shared" si="8"/>
        <v>0</v>
      </c>
      <c r="P60" s="615">
        <f t="shared" si="9"/>
        <v>0</v>
      </c>
    </row>
    <row r="61" spans="1:16" ht="18.75" x14ac:dyDescent="0.25">
      <c r="A61" s="898"/>
      <c r="B61" s="896"/>
      <c r="C61" s="896"/>
      <c r="D61" s="896"/>
      <c r="E61" s="897" t="s">
        <v>19</v>
      </c>
      <c r="F61" s="896"/>
      <c r="G61" s="895"/>
      <c r="H61" s="894" t="s">
        <v>12</v>
      </c>
      <c r="I61" s="893"/>
      <c r="J61" s="893"/>
      <c r="K61" s="892"/>
      <c r="L61" s="891">
        <f t="shared" ca="1" si="10"/>
        <v>385800</v>
      </c>
      <c r="M61" s="891">
        <f t="shared" ca="1" si="10"/>
        <v>291350</v>
      </c>
      <c r="N61" s="891">
        <f t="shared" ca="1" si="10"/>
        <v>175862.14</v>
      </c>
      <c r="O61" s="891">
        <f t="shared" ca="1" si="8"/>
        <v>45.583758424053912</v>
      </c>
      <c r="P61" s="891">
        <f t="shared" ca="1" si="9"/>
        <v>60.361125793718898</v>
      </c>
    </row>
    <row r="62" spans="1:16" ht="18.75" x14ac:dyDescent="0.25">
      <c r="A62" s="419"/>
      <c r="B62" s="421"/>
      <c r="C62" s="421"/>
      <c r="D62" s="880" t="s">
        <v>20</v>
      </c>
      <c r="E62" s="420"/>
      <c r="F62" s="420"/>
      <c r="G62" s="424"/>
      <c r="H62" s="825" t="s">
        <v>12</v>
      </c>
      <c r="I62" s="429"/>
      <c r="J62" s="429"/>
      <c r="K62" s="430"/>
      <c r="L62" s="427">
        <f ca="1">L63+L64</f>
        <v>385800</v>
      </c>
      <c r="M62" s="427">
        <f ca="1">M63+M64</f>
        <v>291350</v>
      </c>
      <c r="N62" s="427">
        <f ca="1">N63+N64</f>
        <v>175862.14</v>
      </c>
      <c r="O62" s="427">
        <f t="shared" ca="1" si="8"/>
        <v>45.583758424053912</v>
      </c>
      <c r="P62" s="427">
        <f t="shared" ca="1" si="9"/>
        <v>60.361125793718898</v>
      </c>
    </row>
    <row r="63" spans="1:16" ht="18.75" hidden="1" x14ac:dyDescent="0.25">
      <c r="A63" s="419"/>
      <c r="B63" s="420"/>
      <c r="C63" s="421"/>
      <c r="D63" s="420"/>
      <c r="E63" s="520" t="s">
        <v>18</v>
      </c>
      <c r="F63" s="420"/>
      <c r="G63" s="424"/>
      <c r="H63" s="559" t="s">
        <v>12</v>
      </c>
      <c r="I63" s="429"/>
      <c r="J63" s="429"/>
      <c r="K63" s="430"/>
      <c r="L63" s="502">
        <v>0</v>
      </c>
      <c r="M63" s="502">
        <v>0</v>
      </c>
      <c r="N63" s="502">
        <v>0</v>
      </c>
      <c r="O63" s="502">
        <f t="shared" si="8"/>
        <v>0</v>
      </c>
      <c r="P63" s="502">
        <f t="shared" si="9"/>
        <v>0</v>
      </c>
    </row>
    <row r="64" spans="1:16" ht="18.75" x14ac:dyDescent="0.25">
      <c r="A64" s="684"/>
      <c r="B64" s="420"/>
      <c r="C64" s="420"/>
      <c r="D64" s="421"/>
      <c r="E64" s="295" t="s">
        <v>19</v>
      </c>
      <c r="F64" s="420"/>
      <c r="G64" s="424"/>
      <c r="H64" s="825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IFERROR(__xludf.DUMMYFUNCTION("IMPORTRANGE(""https://docs.google.com/spreadsheets/d/1-uDff_7J0KD5mKrp0Vvzr7lt3OU09vwQwhkpOPPYv2Y/edit?usp=sharing"",""งบพรบ!AC60"")"),385800)</f>
        <v>385800</v>
      </c>
      <c r="M64" s="427">
        <f ca="1">IFERROR(__xludf.DUMMYFUNCTION("IMPORTRANGE(""https://docs.google.com/spreadsheets/d/1-uDff_7J0KD5mKrp0Vvzr7lt3OU09vwQwhkpOPPYv2Y/edit?usp=sharing"",""งบพรบ!AH60"")"),291350)</f>
        <v>291350</v>
      </c>
      <c r="N64" s="427">
        <f ca="1">IFERROR(__xludf.DUMMYFUNCTION("IMPORTRANGE(""https://docs.google.com/spreadsheets/d/1-uDff_7J0KD5mKrp0Vvzr7lt3OU09vwQwhkpOPPYv2Y/edit?usp=sharing"",""งบพรบ!AJ60"")"),175862.14)</f>
        <v>175862.14</v>
      </c>
      <c r="O64" s="427">
        <f t="shared" ca="1" si="8"/>
        <v>45.583758424053912</v>
      </c>
      <c r="P64" s="427">
        <f t="shared" ca="1" si="9"/>
        <v>60.361125793718898</v>
      </c>
    </row>
    <row r="65" spans="1:16" ht="18.75" x14ac:dyDescent="0.25">
      <c r="A65" s="684"/>
      <c r="B65" s="420"/>
      <c r="C65" s="420"/>
      <c r="D65" s="880" t="s">
        <v>21</v>
      </c>
      <c r="E65" s="420"/>
      <c r="F65" s="420"/>
      <c r="G65" s="424"/>
      <c r="H65" s="825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t="shared" ca="1" si="8"/>
        <v>0</v>
      </c>
      <c r="P65" s="427">
        <f t="shared" ca="1" si="9"/>
        <v>0</v>
      </c>
    </row>
    <row r="66" spans="1:16" ht="18.75" hidden="1" x14ac:dyDescent="0.25">
      <c r="A66" s="684"/>
      <c r="B66" s="420"/>
      <c r="C66" s="420"/>
      <c r="D66" s="420"/>
      <c r="E66" s="520" t="s">
        <v>18</v>
      </c>
      <c r="F66" s="420"/>
      <c r="G66" s="424"/>
      <c r="H66" s="524" t="s">
        <v>12</v>
      </c>
      <c r="I66" s="429"/>
      <c r="J66" s="429"/>
      <c r="K66" s="430"/>
      <c r="L66" s="502">
        <v>0</v>
      </c>
      <c r="M66" s="502">
        <v>0</v>
      </c>
      <c r="N66" s="502">
        <v>0</v>
      </c>
      <c r="O66" s="502">
        <f t="shared" si="8"/>
        <v>0</v>
      </c>
      <c r="P66" s="502">
        <f t="shared" si="9"/>
        <v>0</v>
      </c>
    </row>
    <row r="67" spans="1:16" ht="18.75" x14ac:dyDescent="0.25">
      <c r="A67" s="841"/>
      <c r="B67" s="629"/>
      <c r="C67" s="629"/>
      <c r="D67" s="629"/>
      <c r="E67" s="630" t="s">
        <v>19</v>
      </c>
      <c r="F67" s="629"/>
      <c r="G67" s="628"/>
      <c r="H67" s="890" t="s">
        <v>12</v>
      </c>
      <c r="I67" s="626"/>
      <c r="J67" s="626"/>
      <c r="K67" s="625"/>
      <c r="L67" s="624">
        <f ca="1">IFERROR(__xludf.DUMMYFUNCTION("IMPORTRANGE(""https://docs.google.com/spreadsheets/d/1-uDff_7J0KD5mKrp0Vvzr7lt3OU09vwQwhkpOPPYv2Y/edit?usp=sharing"",""งบพรบ!AF60"")"),0)</f>
        <v>0</v>
      </c>
      <c r="M67" s="624">
        <f ca="1">IFERROR(__xludf.DUMMYFUNCTION("IMPORTRANGE(""https://docs.google.com/spreadsheets/d/1-uDff_7J0KD5mKrp0Vvzr7lt3OU09vwQwhkpOPPYv2Y/edit?usp=sharing"",""งบพรบ!AI60"")"),0)</f>
        <v>0</v>
      </c>
      <c r="N67" s="624">
        <f ca="1">IFERROR(__xludf.DUMMYFUNCTION("IMPORTRANGE(""https://docs.google.com/spreadsheets/d/1-uDff_7J0KD5mKrp0Vvzr7lt3OU09vwQwhkpOPPYv2Y/edit?usp=sharing"",""งบพรบ!AK60"")"),0)</f>
        <v>0</v>
      </c>
      <c r="O67" s="624">
        <f t="shared" ca="1" si="8"/>
        <v>0</v>
      </c>
      <c r="P67" s="624">
        <f t="shared" ca="1" si="9"/>
        <v>0</v>
      </c>
    </row>
    <row r="68" spans="1:16" ht="19.5" hidden="1" x14ac:dyDescent="0.3">
      <c r="A68" s="889" t="s">
        <v>29</v>
      </c>
      <c r="B68" s="887"/>
      <c r="C68" s="887"/>
      <c r="D68" s="887"/>
      <c r="E68" s="888"/>
      <c r="F68" s="888"/>
      <c r="G68" s="888"/>
      <c r="H68" s="887"/>
      <c r="I68" s="886"/>
      <c r="J68" s="886"/>
      <c r="K68" s="885"/>
      <c r="L68" s="885"/>
      <c r="M68" s="885"/>
      <c r="N68" s="885"/>
      <c r="O68" s="885"/>
      <c r="P68" s="884"/>
    </row>
    <row r="69" spans="1:16" ht="19.5" hidden="1" x14ac:dyDescent="0.3">
      <c r="A69" s="856" t="s">
        <v>30</v>
      </c>
      <c r="B69" s="854"/>
      <c r="C69" s="853"/>
      <c r="D69" s="854"/>
      <c r="E69" s="854"/>
      <c r="F69" s="854"/>
      <c r="G69" s="883"/>
      <c r="H69" s="882"/>
      <c r="I69" s="881"/>
      <c r="J69" s="881"/>
      <c r="K69" s="850"/>
      <c r="L69" s="850"/>
      <c r="M69" s="850"/>
      <c r="N69" s="850"/>
      <c r="O69" s="850"/>
      <c r="P69" s="850"/>
    </row>
    <row r="70" spans="1:16" ht="19.5" hidden="1" x14ac:dyDescent="0.3">
      <c r="A70" s="849"/>
      <c r="B70" s="848" t="s">
        <v>31</v>
      </c>
      <c r="C70" s="847"/>
      <c r="D70" s="859"/>
      <c r="E70" s="847"/>
      <c r="F70" s="847"/>
      <c r="G70" s="846"/>
      <c r="H70" s="858" t="s">
        <v>32</v>
      </c>
      <c r="I70" s="844">
        <f ca="1">I82</f>
        <v>0</v>
      </c>
      <c r="J70" s="844">
        <f>J82</f>
        <v>0</v>
      </c>
      <c r="K70" s="843">
        <f ca="1">IF(I70&gt;0,J70*100/I70,0)</f>
        <v>0</v>
      </c>
      <c r="L70" s="842"/>
      <c r="M70" s="842"/>
      <c r="N70" s="842"/>
      <c r="O70" s="842"/>
      <c r="P70" s="842"/>
    </row>
    <row r="71" spans="1:16" ht="19.5" hidden="1" x14ac:dyDescent="0.3">
      <c r="A71" s="849"/>
      <c r="B71" s="847"/>
      <c r="C71" s="847"/>
      <c r="D71" s="859"/>
      <c r="E71" s="847"/>
      <c r="F71" s="847"/>
      <c r="G71" s="846"/>
      <c r="H71" s="858" t="s">
        <v>33</v>
      </c>
      <c r="I71" s="844">
        <f ca="1">I83</f>
        <v>0</v>
      </c>
      <c r="J71" s="844">
        <f>J83</f>
        <v>0</v>
      </c>
      <c r="K71" s="843">
        <f ca="1">IF(I71&gt;0,J71*100/I71,0)</f>
        <v>0</v>
      </c>
      <c r="L71" s="842"/>
      <c r="M71" s="842"/>
      <c r="N71" s="842"/>
      <c r="O71" s="842"/>
      <c r="P71" s="842"/>
    </row>
    <row r="72" spans="1:16" ht="19.5" hidden="1" x14ac:dyDescent="0.3">
      <c r="A72" s="684"/>
      <c r="B72" s="420"/>
      <c r="C72" s="718" t="s">
        <v>16</v>
      </c>
      <c r="D72" s="717" t="s">
        <v>17</v>
      </c>
      <c r="E72" s="420"/>
      <c r="F72" s="420"/>
      <c r="G72" s="424"/>
      <c r="H72" s="716" t="s">
        <v>12</v>
      </c>
      <c r="I72" s="429"/>
      <c r="J72" s="429"/>
      <c r="K72" s="430"/>
      <c r="L72" s="715">
        <f ca="1">L73+L74</f>
        <v>0</v>
      </c>
      <c r="M72" s="715">
        <f ca="1">M73+M74</f>
        <v>0</v>
      </c>
      <c r="N72" s="715">
        <f ca="1">N73+N74</f>
        <v>0</v>
      </c>
      <c r="O72" s="715">
        <f t="shared" ref="O72:O80" ca="1" si="11">IF(L72&gt;0,N72*100/L72,0)</f>
        <v>0</v>
      </c>
      <c r="P72" s="715">
        <f t="shared" ref="P72:P80" ca="1" si="12">IF(M72&gt;0,N72*100/M72,0)</f>
        <v>0</v>
      </c>
    </row>
    <row r="73" spans="1:16" ht="18.75" hidden="1" x14ac:dyDescent="0.25">
      <c r="A73" s="684"/>
      <c r="B73" s="420"/>
      <c r="C73" s="420"/>
      <c r="D73" s="420"/>
      <c r="E73" s="520" t="s">
        <v>18</v>
      </c>
      <c r="F73" s="420"/>
      <c r="G73" s="424"/>
      <c r="H73" s="524" t="s">
        <v>12</v>
      </c>
      <c r="I73" s="429"/>
      <c r="J73" s="429"/>
      <c r="K73" s="430"/>
      <c r="L73" s="502">
        <f t="shared" ref="L73:N74" si="13">L76+L79</f>
        <v>0</v>
      </c>
      <c r="M73" s="502">
        <f t="shared" si="13"/>
        <v>0</v>
      </c>
      <c r="N73" s="502">
        <f t="shared" si="13"/>
        <v>0</v>
      </c>
      <c r="O73" s="502">
        <f t="shared" si="11"/>
        <v>0</v>
      </c>
      <c r="P73" s="502">
        <f t="shared" si="12"/>
        <v>0</v>
      </c>
    </row>
    <row r="74" spans="1:16" ht="18.75" hidden="1" x14ac:dyDescent="0.25">
      <c r="A74" s="684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t="shared" ca="1" si="13"/>
        <v>0</v>
      </c>
      <c r="M74" s="427">
        <f t="shared" ca="1" si="13"/>
        <v>0</v>
      </c>
      <c r="N74" s="427">
        <f t="shared" ca="1" si="13"/>
        <v>0</v>
      </c>
      <c r="O74" s="427">
        <f t="shared" ca="1" si="11"/>
        <v>0</v>
      </c>
      <c r="P74" s="427">
        <f t="shared" ca="1" si="12"/>
        <v>0</v>
      </c>
    </row>
    <row r="75" spans="1:16" ht="18.75" hidden="1" x14ac:dyDescent="0.25">
      <c r="A75" s="684"/>
      <c r="B75" s="421"/>
      <c r="C75" s="420"/>
      <c r="D75" s="713" t="s">
        <v>20</v>
      </c>
      <c r="E75" s="420"/>
      <c r="F75" s="420"/>
      <c r="G75" s="424"/>
      <c r="H75" s="714" t="s">
        <v>12</v>
      </c>
      <c r="I75" s="679"/>
      <c r="J75" s="679"/>
      <c r="K75" s="678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t="shared" ca="1" si="11"/>
        <v>0</v>
      </c>
      <c r="P75" s="427">
        <f t="shared" ca="1" si="12"/>
        <v>0</v>
      </c>
    </row>
    <row r="76" spans="1:16" ht="18.75" hidden="1" x14ac:dyDescent="0.25">
      <c r="A76" s="684"/>
      <c r="B76" s="421"/>
      <c r="C76" s="421"/>
      <c r="D76" s="420"/>
      <c r="E76" s="520" t="s">
        <v>34</v>
      </c>
      <c r="F76" s="420"/>
      <c r="G76" s="424"/>
      <c r="H76" s="522" t="s">
        <v>12</v>
      </c>
      <c r="I76" s="679"/>
      <c r="J76" s="679"/>
      <c r="K76" s="678"/>
      <c r="L76" s="502">
        <v>0</v>
      </c>
      <c r="M76" s="502">
        <v>0</v>
      </c>
      <c r="N76" s="502">
        <v>0</v>
      </c>
      <c r="O76" s="502">
        <f t="shared" si="11"/>
        <v>0</v>
      </c>
      <c r="P76" s="502">
        <f t="shared" si="12"/>
        <v>0</v>
      </c>
    </row>
    <row r="77" spans="1:16" ht="18.75" hidden="1" x14ac:dyDescent="0.25">
      <c r="A77" s="684"/>
      <c r="B77" s="421"/>
      <c r="C77" s="421"/>
      <c r="D77" s="421"/>
      <c r="E77" s="295" t="s">
        <v>35</v>
      </c>
      <c r="F77" s="420"/>
      <c r="G77" s="424"/>
      <c r="H77" s="714" t="s">
        <v>12</v>
      </c>
      <c r="I77" s="679"/>
      <c r="J77" s="679"/>
      <c r="K77" s="678"/>
      <c r="L77" s="427">
        <f ca="1">IFERROR(__xludf.DUMMYFUNCTION("IMPORTRANGE(""https://docs.google.com/spreadsheets/d/1-uDff_7J0KD5mKrp0Vvzr7lt3OU09vwQwhkpOPPYv2Y/edit?usp=sharing"",""งบพรบ!AM60"")"),0)</f>
        <v>0</v>
      </c>
      <c r="M77" s="427">
        <f ca="1">IFERROR(__xludf.DUMMYFUNCTION("IMPORTRANGE(""https://docs.google.com/spreadsheets/d/1-uDff_7J0KD5mKrp0Vvzr7lt3OU09vwQwhkpOPPYv2Y/edit?usp=sharing"",""งบพรบ!AR60"")"),0)</f>
        <v>0</v>
      </c>
      <c r="N77" s="427">
        <f ca="1">IFERROR(__xludf.DUMMYFUNCTION("IMPORTRANGE(""https://docs.google.com/spreadsheets/d/1-uDff_7J0KD5mKrp0Vvzr7lt3OU09vwQwhkpOPPYv2Y/edit?usp=sharing"",""งบพรบ!AT60"")"),0)</f>
        <v>0</v>
      </c>
      <c r="O77" s="427">
        <f t="shared" ca="1" si="11"/>
        <v>0</v>
      </c>
      <c r="P77" s="427">
        <f t="shared" ca="1" si="12"/>
        <v>0</v>
      </c>
    </row>
    <row r="78" spans="1:16" ht="18.75" hidden="1" x14ac:dyDescent="0.25">
      <c r="A78" s="684"/>
      <c r="B78" s="421"/>
      <c r="C78" s="421"/>
      <c r="D78" s="880" t="s">
        <v>21</v>
      </c>
      <c r="E78" s="420"/>
      <c r="F78" s="420"/>
      <c r="G78" s="424"/>
      <c r="H78" s="705" t="s">
        <v>12</v>
      </c>
      <c r="I78" s="679"/>
      <c r="J78" s="679"/>
      <c r="K78" s="678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t="shared" ca="1" si="11"/>
        <v>0</v>
      </c>
      <c r="P78" s="427">
        <f t="shared" ca="1" si="12"/>
        <v>0</v>
      </c>
    </row>
    <row r="79" spans="1:16" ht="18.75" hidden="1" x14ac:dyDescent="0.25">
      <c r="A79" s="684"/>
      <c r="B79" s="421"/>
      <c r="C79" s="421"/>
      <c r="D79" s="421"/>
      <c r="E79" s="520" t="s">
        <v>18</v>
      </c>
      <c r="F79" s="420"/>
      <c r="G79" s="424"/>
      <c r="H79" s="522" t="s">
        <v>12</v>
      </c>
      <c r="I79" s="679"/>
      <c r="J79" s="679"/>
      <c r="K79" s="678"/>
      <c r="L79" s="502">
        <v>0</v>
      </c>
      <c r="M79" s="430"/>
      <c r="N79" s="430"/>
      <c r="O79" s="502">
        <f t="shared" si="11"/>
        <v>0</v>
      </c>
      <c r="P79" s="502">
        <f t="shared" si="12"/>
        <v>0</v>
      </c>
    </row>
    <row r="80" spans="1:16" ht="18.75" hidden="1" x14ac:dyDescent="0.25">
      <c r="A80" s="684"/>
      <c r="B80" s="421"/>
      <c r="C80" s="421"/>
      <c r="D80" s="421"/>
      <c r="E80" s="295" t="s">
        <v>19</v>
      </c>
      <c r="F80" s="420"/>
      <c r="G80" s="424"/>
      <c r="H80" s="705" t="s">
        <v>12</v>
      </c>
      <c r="I80" s="679"/>
      <c r="J80" s="679"/>
      <c r="K80" s="678"/>
      <c r="L80" s="427">
        <f ca="1">IFERROR(__xludf.DUMMYFUNCTION("IMPORTRANGE(""https://docs.google.com/spreadsheets/d/1-uDff_7J0KD5mKrp0Vvzr7lt3OU09vwQwhkpOPPYv2Y/edit?usp=sharing"",""งบพรบ!AP60"")"),0)</f>
        <v>0</v>
      </c>
      <c r="M80" s="427">
        <f ca="1">IFERROR(__xludf.DUMMYFUNCTION("IMPORTRANGE(""https://docs.google.com/spreadsheets/d/1-uDff_7J0KD5mKrp0Vvzr7lt3OU09vwQwhkpOPPYv2Y/edit?usp=sharing"",""งบพรบ!AS60"")"),0)</f>
        <v>0</v>
      </c>
      <c r="N80" s="427">
        <f ca="1">IFERROR(__xludf.DUMMYFUNCTION("IMPORTRANGE(""https://docs.google.com/spreadsheets/d/1-uDff_7J0KD5mKrp0Vvzr7lt3OU09vwQwhkpOPPYv2Y/edit?usp=sharing"",""งบพรบ!AU60"")"),0)</f>
        <v>0</v>
      </c>
      <c r="O80" s="427">
        <f t="shared" ca="1" si="11"/>
        <v>0</v>
      </c>
      <c r="P80" s="427">
        <f t="shared" ca="1" si="12"/>
        <v>0</v>
      </c>
    </row>
    <row r="81" spans="1:16" ht="19.5" hidden="1" x14ac:dyDescent="0.3">
      <c r="A81" s="683"/>
      <c r="B81" s="432"/>
      <c r="C81" s="711" t="s">
        <v>16</v>
      </c>
      <c r="D81" s="710" t="s">
        <v>36</v>
      </c>
      <c r="E81" s="682"/>
      <c r="F81" s="682"/>
      <c r="G81" s="681"/>
      <c r="H81" s="680"/>
      <c r="I81" s="679"/>
      <c r="J81" s="679"/>
      <c r="K81" s="678"/>
      <c r="L81" s="678"/>
      <c r="M81" s="678"/>
      <c r="N81" s="678"/>
      <c r="O81" s="678"/>
      <c r="P81" s="678"/>
    </row>
    <row r="82" spans="1:16" ht="19.5" hidden="1" x14ac:dyDescent="0.3">
      <c r="A82" s="683"/>
      <c r="B82" s="432"/>
      <c r="C82" s="432"/>
      <c r="D82" s="709" t="s">
        <v>37</v>
      </c>
      <c r="E82" s="422"/>
      <c r="F82" s="422"/>
      <c r="G82" s="680"/>
      <c r="H82" s="773" t="s">
        <v>32</v>
      </c>
      <c r="I82" s="772">
        <f ca="1">I84+I86+I88</f>
        <v>0</v>
      </c>
      <c r="J82" s="772">
        <f>J84+J86+J88</f>
        <v>0</v>
      </c>
      <c r="K82" s="771">
        <f t="shared" ref="K82:K90" ca="1" si="14">IF(I82&gt;0,J82*100/I82,0)</f>
        <v>0</v>
      </c>
      <c r="L82" s="678"/>
      <c r="M82" s="678"/>
      <c r="N82" s="678"/>
      <c r="O82" s="678"/>
      <c r="P82" s="678"/>
    </row>
    <row r="83" spans="1:16" ht="19.5" hidden="1" x14ac:dyDescent="0.3">
      <c r="A83" s="683"/>
      <c r="B83" s="432"/>
      <c r="C83" s="432"/>
      <c r="D83" s="432"/>
      <c r="E83" s="422"/>
      <c r="F83" s="422"/>
      <c r="G83" s="680"/>
      <c r="H83" s="773" t="s">
        <v>33</v>
      </c>
      <c r="I83" s="772">
        <f ca="1">I85+I87+I89</f>
        <v>0</v>
      </c>
      <c r="J83" s="772">
        <f>J85+J87+J89</f>
        <v>0</v>
      </c>
      <c r="K83" s="771">
        <f t="shared" ca="1" si="14"/>
        <v>0</v>
      </c>
      <c r="L83" s="678"/>
      <c r="M83" s="678"/>
      <c r="N83" s="678"/>
      <c r="O83" s="678"/>
      <c r="P83" s="678"/>
    </row>
    <row r="84" spans="1:16" ht="18.75" hidden="1" x14ac:dyDescent="0.25">
      <c r="A84" s="683"/>
      <c r="B84" s="432"/>
      <c r="C84" s="432"/>
      <c r="D84" s="432"/>
      <c r="E84" s="423" t="s">
        <v>38</v>
      </c>
      <c r="F84" s="422"/>
      <c r="G84" s="680"/>
      <c r="H84" s="769" t="s">
        <v>32</v>
      </c>
      <c r="I84" s="768">
        <f ca="1">IFERROR(__xludf.DUMMYFUNCTION("IMPORTRANGE(""https://docs.google.com/spreadsheets/d/1eHaY18a8A9IcSdp1K8H6x8fbOy06t2VsZHhMHf-1x7Y/edit?usp=sharing"",""แผน!H60"")"),0)</f>
        <v>0</v>
      </c>
      <c r="J84" s="736">
        <v>0</v>
      </c>
      <c r="K84" s="767">
        <f t="shared" ca="1" si="14"/>
        <v>0</v>
      </c>
      <c r="L84" s="678"/>
      <c r="M84" s="678"/>
      <c r="N84" s="678"/>
      <c r="O84" s="678"/>
      <c r="P84" s="678"/>
    </row>
    <row r="85" spans="1:16" ht="18.75" hidden="1" x14ac:dyDescent="0.25">
      <c r="A85" s="683"/>
      <c r="B85" s="432"/>
      <c r="C85" s="432"/>
      <c r="D85" s="432"/>
      <c r="E85" s="422"/>
      <c r="F85" s="422"/>
      <c r="G85" s="680"/>
      <c r="H85" s="769" t="s">
        <v>33</v>
      </c>
      <c r="I85" s="768">
        <f ca="1">IFERROR(__xludf.DUMMYFUNCTION("IMPORTRANGE(""https://docs.google.com/spreadsheets/d/1eHaY18a8A9IcSdp1K8H6x8fbOy06t2VsZHhMHf-1x7Y/edit?usp=sharing"",""แผน!I60"")"),0)</f>
        <v>0</v>
      </c>
      <c r="J85" s="736">
        <v>0</v>
      </c>
      <c r="K85" s="767">
        <f t="shared" ca="1" si="14"/>
        <v>0</v>
      </c>
      <c r="L85" s="678"/>
      <c r="M85" s="678"/>
      <c r="N85" s="678"/>
      <c r="O85" s="678"/>
      <c r="P85" s="678"/>
    </row>
    <row r="86" spans="1:16" ht="18.75" hidden="1" x14ac:dyDescent="0.25">
      <c r="A86" s="683"/>
      <c r="B86" s="432"/>
      <c r="C86" s="432"/>
      <c r="D86" s="432"/>
      <c r="E86" s="423" t="s">
        <v>39</v>
      </c>
      <c r="F86" s="422"/>
      <c r="G86" s="680"/>
      <c r="H86" s="769" t="s">
        <v>32</v>
      </c>
      <c r="I86" s="768">
        <f ca="1">IFERROR(__xludf.DUMMYFUNCTION("IMPORTRANGE(""https://docs.google.com/spreadsheets/d/1eHaY18a8A9IcSdp1K8H6x8fbOy06t2VsZHhMHf-1x7Y/edit?usp=sharing"",""แผน!F60"")"),0)</f>
        <v>0</v>
      </c>
      <c r="J86" s="736">
        <v>0</v>
      </c>
      <c r="K86" s="767">
        <f t="shared" ca="1" si="14"/>
        <v>0</v>
      </c>
      <c r="L86" s="678"/>
      <c r="M86" s="678"/>
      <c r="N86" s="678"/>
      <c r="O86" s="678"/>
      <c r="P86" s="678"/>
    </row>
    <row r="87" spans="1:16" ht="18.75" hidden="1" x14ac:dyDescent="0.25">
      <c r="A87" s="683"/>
      <c r="B87" s="432"/>
      <c r="C87" s="432"/>
      <c r="D87" s="432"/>
      <c r="E87" s="422"/>
      <c r="F87" s="422"/>
      <c r="G87" s="680"/>
      <c r="H87" s="769" t="s">
        <v>33</v>
      </c>
      <c r="I87" s="768">
        <f ca="1">IFERROR(__xludf.DUMMYFUNCTION("IMPORTRANGE(""https://docs.google.com/spreadsheets/d/1eHaY18a8A9IcSdp1K8H6x8fbOy06t2VsZHhMHf-1x7Y/edit?usp=sharing"",""แผน!G60"")"),0)</f>
        <v>0</v>
      </c>
      <c r="J87" s="736">
        <v>0</v>
      </c>
      <c r="K87" s="767">
        <f t="shared" ca="1" si="14"/>
        <v>0</v>
      </c>
      <c r="L87" s="678"/>
      <c r="M87" s="678"/>
      <c r="N87" s="678"/>
      <c r="O87" s="678"/>
      <c r="P87" s="678"/>
    </row>
    <row r="88" spans="1:16" ht="18.75" hidden="1" x14ac:dyDescent="0.25">
      <c r="A88" s="683"/>
      <c r="B88" s="432"/>
      <c r="C88" s="432"/>
      <c r="D88" s="432"/>
      <c r="E88" s="423" t="s">
        <v>40</v>
      </c>
      <c r="F88" s="422"/>
      <c r="G88" s="680"/>
      <c r="H88" s="705" t="s">
        <v>32</v>
      </c>
      <c r="I88" s="768">
        <f ca="1">IFERROR(__xludf.DUMMYFUNCTION("IMPORTRANGE(""https://docs.google.com/spreadsheets/d/1eHaY18a8A9IcSdp1K8H6x8fbOy06t2VsZHhMHf-1x7Y/edit?usp=sharing"",""แผน!D60"")"),0)</f>
        <v>0</v>
      </c>
      <c r="J88" s="736">
        <v>0</v>
      </c>
      <c r="K88" s="767">
        <f t="shared" ca="1" si="14"/>
        <v>0</v>
      </c>
      <c r="L88" s="678"/>
      <c r="M88" s="678"/>
      <c r="N88" s="678"/>
      <c r="O88" s="678"/>
      <c r="P88" s="678"/>
    </row>
    <row r="89" spans="1:16" ht="18.75" hidden="1" x14ac:dyDescent="0.25">
      <c r="A89" s="683"/>
      <c r="B89" s="432"/>
      <c r="C89" s="432"/>
      <c r="D89" s="432"/>
      <c r="E89" s="422"/>
      <c r="F89" s="422"/>
      <c r="G89" s="680"/>
      <c r="H89" s="705" t="s">
        <v>33</v>
      </c>
      <c r="I89" s="768">
        <f ca="1">IFERROR(__xludf.DUMMYFUNCTION("IMPORTRANGE(""https://docs.google.com/spreadsheets/d/1eHaY18a8A9IcSdp1K8H6x8fbOy06t2VsZHhMHf-1x7Y/edit?usp=sharing"",""แผน!E60"")"),0)</f>
        <v>0</v>
      </c>
      <c r="J89" s="736">
        <v>0</v>
      </c>
      <c r="K89" s="767">
        <f t="shared" ca="1" si="14"/>
        <v>0</v>
      </c>
      <c r="L89" s="678"/>
      <c r="M89" s="678"/>
      <c r="N89" s="678"/>
      <c r="O89" s="678"/>
      <c r="P89" s="678"/>
    </row>
    <row r="90" spans="1:16" ht="18.75" hidden="1" x14ac:dyDescent="0.25">
      <c r="A90" s="683"/>
      <c r="B90" s="432"/>
      <c r="C90" s="432"/>
      <c r="D90" s="706" t="s">
        <v>41</v>
      </c>
      <c r="E90" s="422"/>
      <c r="F90" s="422"/>
      <c r="G90" s="680"/>
      <c r="H90" s="714" t="s">
        <v>32</v>
      </c>
      <c r="I90" s="768">
        <f ca="1">IFERROR(__xludf.DUMMYFUNCTION("IMPORTRANGE(""https://docs.google.com/spreadsheets/d/1eHaY18a8A9IcSdp1K8H6x8fbOy06t2VsZHhMHf-1x7Y/edit?usp=sharing"",""แผน!J60"")"),0)</f>
        <v>0</v>
      </c>
      <c r="J90" s="736">
        <v>0</v>
      </c>
      <c r="K90" s="767">
        <f t="shared" ca="1" si="14"/>
        <v>0</v>
      </c>
      <c r="L90" s="678"/>
      <c r="M90" s="678"/>
      <c r="N90" s="678"/>
      <c r="O90" s="678"/>
      <c r="P90" s="678"/>
    </row>
    <row r="91" spans="1:16" ht="19.5" hidden="1" x14ac:dyDescent="0.3">
      <c r="A91" s="856" t="s">
        <v>42</v>
      </c>
      <c r="B91" s="854"/>
      <c r="C91" s="853"/>
      <c r="D91" s="854"/>
      <c r="E91" s="854"/>
      <c r="F91" s="854"/>
      <c r="G91" s="883"/>
      <c r="H91" s="882"/>
      <c r="I91" s="881"/>
      <c r="J91" s="881"/>
      <c r="K91" s="850"/>
      <c r="L91" s="850"/>
      <c r="M91" s="850"/>
      <c r="N91" s="850"/>
      <c r="O91" s="850"/>
      <c r="P91" s="850"/>
    </row>
    <row r="92" spans="1:16" ht="19.5" hidden="1" x14ac:dyDescent="0.3">
      <c r="A92" s="849"/>
      <c r="B92" s="848" t="s">
        <v>43</v>
      </c>
      <c r="C92" s="847"/>
      <c r="D92" s="859"/>
      <c r="E92" s="847"/>
      <c r="F92" s="847"/>
      <c r="G92" s="846"/>
      <c r="H92" s="858" t="s">
        <v>44</v>
      </c>
      <c r="I92" s="844">
        <f ca="1">I108</f>
        <v>0</v>
      </c>
      <c r="J92" s="844">
        <f>J108</f>
        <v>0</v>
      </c>
      <c r="K92" s="843">
        <f ca="1">IF(I92&gt;0,J92*100/I92,0)</f>
        <v>0</v>
      </c>
      <c r="L92" s="842"/>
      <c r="M92" s="842"/>
      <c r="N92" s="842"/>
      <c r="O92" s="842"/>
      <c r="P92" s="842"/>
    </row>
    <row r="93" spans="1:16" ht="19.5" hidden="1" x14ac:dyDescent="0.3">
      <c r="A93" s="849"/>
      <c r="B93" s="847"/>
      <c r="C93" s="847"/>
      <c r="D93" s="859"/>
      <c r="E93" s="847"/>
      <c r="F93" s="847"/>
      <c r="G93" s="846"/>
      <c r="H93" s="858" t="s">
        <v>33</v>
      </c>
      <c r="I93" s="844">
        <f ca="1">I109</f>
        <v>0</v>
      </c>
      <c r="J93" s="844">
        <f>J109</f>
        <v>0</v>
      </c>
      <c r="K93" s="843">
        <f ca="1">IF(I93&gt;0,J93*100/I93,0)</f>
        <v>0</v>
      </c>
      <c r="L93" s="842"/>
      <c r="M93" s="842"/>
      <c r="N93" s="842"/>
      <c r="O93" s="842"/>
      <c r="P93" s="842"/>
    </row>
    <row r="94" spans="1:16" ht="19.5" hidden="1" x14ac:dyDescent="0.3">
      <c r="A94" s="684"/>
      <c r="B94" s="420"/>
      <c r="C94" s="718" t="s">
        <v>16</v>
      </c>
      <c r="D94" s="717" t="s">
        <v>17</v>
      </c>
      <c r="E94" s="420"/>
      <c r="F94" s="420"/>
      <c r="G94" s="424"/>
      <c r="H94" s="716" t="s">
        <v>12</v>
      </c>
      <c r="I94" s="429"/>
      <c r="J94" s="429"/>
      <c r="K94" s="430"/>
      <c r="L94" s="715">
        <f ca="1">L95+L96</f>
        <v>0</v>
      </c>
      <c r="M94" s="715">
        <f ca="1">M95+M96</f>
        <v>0</v>
      </c>
      <c r="N94" s="715">
        <f ca="1">N95+N96</f>
        <v>0</v>
      </c>
      <c r="O94" s="715">
        <f t="shared" ref="O94:O102" ca="1" si="15">IF(L94&gt;0,N94*100/L94,0)</f>
        <v>0</v>
      </c>
      <c r="P94" s="715">
        <f t="shared" ref="P94:P102" ca="1" si="16">IF(M94&gt;0,N94*100/M94,0)</f>
        <v>0</v>
      </c>
    </row>
    <row r="95" spans="1:16" ht="18.75" hidden="1" x14ac:dyDescent="0.25">
      <c r="A95" s="684"/>
      <c r="B95" s="420"/>
      <c r="C95" s="420"/>
      <c r="D95" s="420"/>
      <c r="E95" s="520" t="s">
        <v>18</v>
      </c>
      <c r="F95" s="420"/>
      <c r="G95" s="424"/>
      <c r="H95" s="524" t="s">
        <v>12</v>
      </c>
      <c r="I95" s="429"/>
      <c r="J95" s="429"/>
      <c r="K95" s="430"/>
      <c r="L95" s="502">
        <f t="shared" ref="L95:N96" si="17">L98+L101</f>
        <v>0</v>
      </c>
      <c r="M95" s="502">
        <f t="shared" si="17"/>
        <v>0</v>
      </c>
      <c r="N95" s="502">
        <f t="shared" si="17"/>
        <v>0</v>
      </c>
      <c r="O95" s="502">
        <f t="shared" si="15"/>
        <v>0</v>
      </c>
      <c r="P95" s="502">
        <f t="shared" si="16"/>
        <v>0</v>
      </c>
    </row>
    <row r="96" spans="1:16" ht="18.75" hidden="1" x14ac:dyDescent="0.25">
      <c r="A96" s="684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t="shared" ca="1" si="17"/>
        <v>0</v>
      </c>
      <c r="M96" s="427">
        <f t="shared" ca="1" si="17"/>
        <v>0</v>
      </c>
      <c r="N96" s="427">
        <f t="shared" ca="1" si="17"/>
        <v>0</v>
      </c>
      <c r="O96" s="427">
        <f t="shared" ca="1" si="15"/>
        <v>0</v>
      </c>
      <c r="P96" s="427">
        <f t="shared" ca="1" si="16"/>
        <v>0</v>
      </c>
    </row>
    <row r="97" spans="1:16" ht="18.75" hidden="1" x14ac:dyDescent="0.25">
      <c r="A97" s="684"/>
      <c r="B97" s="421"/>
      <c r="C97" s="420"/>
      <c r="D97" s="713" t="s">
        <v>20</v>
      </c>
      <c r="E97" s="420"/>
      <c r="F97" s="420"/>
      <c r="G97" s="424"/>
      <c r="H97" s="714" t="s">
        <v>12</v>
      </c>
      <c r="I97" s="679"/>
      <c r="J97" s="679"/>
      <c r="K97" s="678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t="shared" ca="1" si="15"/>
        <v>0</v>
      </c>
      <c r="P97" s="427">
        <f t="shared" ca="1" si="16"/>
        <v>0</v>
      </c>
    </row>
    <row r="98" spans="1:16" ht="18.75" hidden="1" x14ac:dyDescent="0.25">
      <c r="A98" s="684"/>
      <c r="B98" s="421"/>
      <c r="C98" s="421"/>
      <c r="D98" s="420"/>
      <c r="E98" s="520" t="s">
        <v>34</v>
      </c>
      <c r="F98" s="420"/>
      <c r="G98" s="424"/>
      <c r="H98" s="522" t="s">
        <v>12</v>
      </c>
      <c r="I98" s="679"/>
      <c r="J98" s="679"/>
      <c r="K98" s="678"/>
      <c r="L98" s="502">
        <v>0</v>
      </c>
      <c r="M98" s="502">
        <v>0</v>
      </c>
      <c r="N98" s="502">
        <v>0</v>
      </c>
      <c r="O98" s="502">
        <f t="shared" si="15"/>
        <v>0</v>
      </c>
      <c r="P98" s="502">
        <f t="shared" si="16"/>
        <v>0</v>
      </c>
    </row>
    <row r="99" spans="1:16" ht="18.75" hidden="1" x14ac:dyDescent="0.25">
      <c r="A99" s="684"/>
      <c r="B99" s="421"/>
      <c r="C99" s="421"/>
      <c r="D99" s="420"/>
      <c r="E99" s="295" t="s">
        <v>35</v>
      </c>
      <c r="F99" s="420"/>
      <c r="G99" s="424"/>
      <c r="H99" s="714" t="s">
        <v>12</v>
      </c>
      <c r="I99" s="679"/>
      <c r="J99" s="679"/>
      <c r="K99" s="678"/>
      <c r="L99" s="427">
        <f ca="1">IFERROR(__xludf.DUMMYFUNCTION("IMPORTRANGE(""https://docs.google.com/spreadsheets/d/1-uDff_7J0KD5mKrp0Vvzr7lt3OU09vwQwhkpOPPYv2Y/edit?usp=sharing"",""งบพรบ!AW60"")"),0)</f>
        <v>0</v>
      </c>
      <c r="M99" s="427">
        <f ca="1">IFERROR(__xludf.DUMMYFUNCTION("IMPORTRANGE(""https://docs.google.com/spreadsheets/d/1-uDff_7J0KD5mKrp0Vvzr7lt3OU09vwQwhkpOPPYv2Y/edit?usp=sharing"",""งบพรบ!BB60"")"),0)</f>
        <v>0</v>
      </c>
      <c r="N99" s="427">
        <f ca="1">IFERROR(__xludf.DUMMYFUNCTION("IMPORTRANGE(""https://docs.google.com/spreadsheets/d/1-uDff_7J0KD5mKrp0Vvzr7lt3OU09vwQwhkpOPPYv2Y/edit?usp=sharing"",""งบพรบ!BD60"")"),0)</f>
        <v>0</v>
      </c>
      <c r="O99" s="427">
        <f t="shared" ca="1" si="15"/>
        <v>0</v>
      </c>
      <c r="P99" s="427">
        <f t="shared" ca="1" si="16"/>
        <v>0</v>
      </c>
    </row>
    <row r="100" spans="1:16" ht="18.75" hidden="1" x14ac:dyDescent="0.25">
      <c r="A100" s="684"/>
      <c r="B100" s="421"/>
      <c r="C100" s="421"/>
      <c r="D100" s="880" t="s">
        <v>21</v>
      </c>
      <c r="E100" s="420"/>
      <c r="F100" s="420"/>
      <c r="G100" s="424"/>
      <c r="H100" s="705" t="s">
        <v>12</v>
      </c>
      <c r="I100" s="679"/>
      <c r="J100" s="679"/>
      <c r="K100" s="678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t="shared" ca="1" si="15"/>
        <v>0</v>
      </c>
      <c r="P100" s="427">
        <f t="shared" ca="1" si="16"/>
        <v>0</v>
      </c>
    </row>
    <row r="101" spans="1:16" ht="18.75" hidden="1" x14ac:dyDescent="0.25">
      <c r="A101" s="684"/>
      <c r="B101" s="421"/>
      <c r="C101" s="421"/>
      <c r="D101" s="420"/>
      <c r="E101" s="520" t="s">
        <v>18</v>
      </c>
      <c r="F101" s="420"/>
      <c r="G101" s="424"/>
      <c r="H101" s="522" t="s">
        <v>12</v>
      </c>
      <c r="I101" s="679"/>
      <c r="J101" s="679"/>
      <c r="K101" s="678"/>
      <c r="L101" s="502">
        <v>0</v>
      </c>
      <c r="M101" s="502">
        <v>0</v>
      </c>
      <c r="N101" s="502">
        <v>0</v>
      </c>
      <c r="O101" s="502">
        <f t="shared" si="15"/>
        <v>0</v>
      </c>
      <c r="P101" s="502">
        <f t="shared" si="16"/>
        <v>0</v>
      </c>
    </row>
    <row r="102" spans="1:16" ht="18.75" hidden="1" x14ac:dyDescent="0.25">
      <c r="A102" s="684"/>
      <c r="B102" s="421"/>
      <c r="C102" s="421"/>
      <c r="D102" s="420"/>
      <c r="E102" s="295" t="s">
        <v>19</v>
      </c>
      <c r="F102" s="420"/>
      <c r="G102" s="424"/>
      <c r="H102" s="705" t="s">
        <v>12</v>
      </c>
      <c r="I102" s="679"/>
      <c r="J102" s="679"/>
      <c r="K102" s="678"/>
      <c r="L102" s="427">
        <f ca="1">IFERROR(__xludf.DUMMYFUNCTION("IMPORTRANGE(""https://docs.google.com/spreadsheets/d/1-uDff_7J0KD5mKrp0Vvzr7lt3OU09vwQwhkpOPPYv2Y/edit?usp=sharing"",""งบพรบ!AZ60"")"),0)</f>
        <v>0</v>
      </c>
      <c r="M102" s="427">
        <f ca="1">IFERROR(__xludf.DUMMYFUNCTION("IMPORTRANGE(""https://docs.google.com/spreadsheets/d/1-uDff_7J0KD5mKrp0Vvzr7lt3OU09vwQwhkpOPPYv2Y/edit?usp=sharing"",""งบพรบ!BC60"")"),0)</f>
        <v>0</v>
      </c>
      <c r="N102" s="427">
        <f ca="1">IFERROR(__xludf.DUMMYFUNCTION("IMPORTRANGE(""https://docs.google.com/spreadsheets/d/1-uDff_7J0KD5mKrp0Vvzr7lt3OU09vwQwhkpOPPYv2Y/edit?usp=sharing"",""งบพรบ!BE60"")"),0)</f>
        <v>0</v>
      </c>
      <c r="O102" s="427">
        <f t="shared" ca="1" si="15"/>
        <v>0</v>
      </c>
      <c r="P102" s="427">
        <f t="shared" ca="1" si="16"/>
        <v>0</v>
      </c>
    </row>
    <row r="103" spans="1:16" ht="19.5" hidden="1" x14ac:dyDescent="0.3">
      <c r="A103" s="683"/>
      <c r="B103" s="432"/>
      <c r="C103" s="711" t="s">
        <v>16</v>
      </c>
      <c r="D103" s="737" t="s">
        <v>36</v>
      </c>
      <c r="E103" s="682"/>
      <c r="F103" s="682"/>
      <c r="G103" s="681"/>
      <c r="H103" s="680"/>
      <c r="I103" s="679"/>
      <c r="J103" s="429"/>
      <c r="K103" s="430"/>
      <c r="L103" s="430"/>
      <c r="M103" s="430"/>
      <c r="N103" s="430"/>
      <c r="O103" s="678"/>
      <c r="P103" s="678"/>
    </row>
    <row r="104" spans="1:16" ht="12.75" hidden="1" x14ac:dyDescent="0.2">
      <c r="A104" s="766"/>
      <c r="B104" s="765"/>
      <c r="C104" s="765"/>
      <c r="D104" s="764"/>
      <c r="E104" s="764"/>
      <c r="F104" s="764"/>
      <c r="G104" s="763"/>
      <c r="H104" s="763"/>
      <c r="I104" s="761"/>
      <c r="J104" s="761"/>
      <c r="K104" s="760"/>
      <c r="L104" s="760"/>
      <c r="M104" s="760"/>
      <c r="N104" s="760"/>
      <c r="O104" s="760"/>
      <c r="P104" s="760"/>
    </row>
    <row r="105" spans="1:16" ht="12.75" hidden="1" x14ac:dyDescent="0.2">
      <c r="A105" s="766"/>
      <c r="B105" s="765"/>
      <c r="C105" s="765"/>
      <c r="D105" s="764"/>
      <c r="E105" s="764"/>
      <c r="F105" s="764"/>
      <c r="G105" s="763"/>
      <c r="H105" s="763"/>
      <c r="I105" s="761"/>
      <c r="J105" s="761"/>
      <c r="K105" s="760"/>
      <c r="L105" s="760"/>
      <c r="M105" s="760"/>
      <c r="N105" s="760"/>
      <c r="O105" s="760"/>
      <c r="P105" s="760"/>
    </row>
    <row r="106" spans="1:16" ht="12.75" hidden="1" x14ac:dyDescent="0.2">
      <c r="A106" s="766"/>
      <c r="B106" s="765"/>
      <c r="C106" s="765"/>
      <c r="D106" s="765"/>
      <c r="E106" s="764"/>
      <c r="F106" s="764"/>
      <c r="G106" s="763"/>
      <c r="H106" s="763"/>
      <c r="I106" s="761"/>
      <c r="J106" s="761"/>
      <c r="K106" s="760"/>
      <c r="L106" s="760"/>
      <c r="M106" s="760"/>
      <c r="N106" s="760"/>
      <c r="O106" s="760"/>
      <c r="P106" s="760"/>
    </row>
    <row r="107" spans="1:16" ht="19.5" hidden="1" x14ac:dyDescent="0.3">
      <c r="A107" s="683"/>
      <c r="B107" s="432"/>
      <c r="C107" s="432"/>
      <c r="D107" s="770" t="s">
        <v>45</v>
      </c>
      <c r="E107" s="673"/>
      <c r="F107" s="422"/>
      <c r="G107" s="680"/>
      <c r="H107" s="424"/>
      <c r="I107" s="429"/>
      <c r="J107" s="429"/>
      <c r="K107" s="430"/>
      <c r="L107" s="430"/>
      <c r="M107" s="430"/>
      <c r="N107" s="430"/>
      <c r="O107" s="678"/>
      <c r="P107" s="678"/>
    </row>
    <row r="108" spans="1:16" ht="18.75" hidden="1" x14ac:dyDescent="0.25">
      <c r="A108" s="683"/>
      <c r="B108" s="432"/>
      <c r="C108" s="432"/>
      <c r="D108" s="423" t="s">
        <v>46</v>
      </c>
      <c r="E108" s="422"/>
      <c r="F108" s="422"/>
      <c r="G108" s="680"/>
      <c r="H108" s="825" t="s">
        <v>44</v>
      </c>
      <c r="I108" s="426">
        <f ca="1">IFERROR(__xludf.DUMMYFUNCTION("IMPORTRANGE(""https://docs.google.com/spreadsheets/d/1eHaY18a8A9IcSdp1K8H6x8fbOy06t2VsZHhMHf-1x7Y/edit?usp=sharing"",""แผน!N60"")"),0)</f>
        <v>0</v>
      </c>
      <c r="J108" s="736">
        <v>0</v>
      </c>
      <c r="K108" s="427">
        <f ca="1">IF(I108&gt;0,J108*100/I108,0)</f>
        <v>0</v>
      </c>
      <c r="L108" s="430"/>
      <c r="M108" s="430"/>
      <c r="N108" s="430"/>
      <c r="O108" s="678"/>
      <c r="P108" s="678"/>
    </row>
    <row r="109" spans="1:16" ht="18.75" hidden="1" x14ac:dyDescent="0.25">
      <c r="A109" s="683"/>
      <c r="B109" s="432"/>
      <c r="C109" s="432"/>
      <c r="D109" s="423" t="s">
        <v>47</v>
      </c>
      <c r="E109" s="422"/>
      <c r="F109" s="422"/>
      <c r="G109" s="680"/>
      <c r="H109" s="825" t="s">
        <v>33</v>
      </c>
      <c r="I109" s="426">
        <f ca="1">IFERROR(__xludf.DUMMYFUNCTION("IMPORTRANGE(""https://docs.google.com/spreadsheets/d/1eHaY18a8A9IcSdp1K8H6x8fbOy06t2VsZHhMHf-1x7Y/edit?usp=sharing"",""แผน!O60"")"),0)</f>
        <v>0</v>
      </c>
      <c r="J109" s="736">
        <v>0</v>
      </c>
      <c r="K109" s="427">
        <f ca="1">IF(I109&gt;0,J109*100/I109,0)</f>
        <v>0</v>
      </c>
      <c r="L109" s="430"/>
      <c r="M109" s="430"/>
      <c r="N109" s="430"/>
      <c r="O109" s="678"/>
      <c r="P109" s="678"/>
    </row>
    <row r="110" spans="1:16" ht="12.75" hidden="1" x14ac:dyDescent="0.2">
      <c r="A110" s="766"/>
      <c r="B110" s="765"/>
      <c r="C110" s="765"/>
      <c r="D110" s="764"/>
      <c r="E110" s="764"/>
      <c r="F110" s="764"/>
      <c r="G110" s="763"/>
      <c r="H110" s="763"/>
      <c r="I110" s="761"/>
      <c r="J110" s="761"/>
      <c r="K110" s="760"/>
      <c r="L110" s="760"/>
      <c r="M110" s="760"/>
      <c r="N110" s="760"/>
      <c r="O110" s="760"/>
      <c r="P110" s="760"/>
    </row>
    <row r="111" spans="1:16" ht="12.75" hidden="1" x14ac:dyDescent="0.2">
      <c r="A111" s="766"/>
      <c r="B111" s="765"/>
      <c r="C111" s="765"/>
      <c r="D111" s="764"/>
      <c r="E111" s="764"/>
      <c r="F111" s="764"/>
      <c r="G111" s="763"/>
      <c r="H111" s="763"/>
      <c r="I111" s="761"/>
      <c r="J111" s="761"/>
      <c r="K111" s="760"/>
      <c r="L111" s="760"/>
      <c r="M111" s="760"/>
      <c r="N111" s="760"/>
      <c r="O111" s="760"/>
      <c r="P111" s="760"/>
    </row>
    <row r="112" spans="1:16" ht="12.75" hidden="1" x14ac:dyDescent="0.2">
      <c r="A112" s="766"/>
      <c r="B112" s="765"/>
      <c r="C112" s="765"/>
      <c r="D112" s="765"/>
      <c r="E112" s="764"/>
      <c r="F112" s="764"/>
      <c r="G112" s="763"/>
      <c r="H112" s="763"/>
      <c r="I112" s="761"/>
      <c r="J112" s="761"/>
      <c r="K112" s="760"/>
      <c r="L112" s="760"/>
      <c r="M112" s="760"/>
      <c r="N112" s="760"/>
      <c r="O112" s="760"/>
      <c r="P112" s="760"/>
    </row>
    <row r="113" spans="1:16" ht="12.75" hidden="1" x14ac:dyDescent="0.2">
      <c r="A113" s="766"/>
      <c r="B113" s="765"/>
      <c r="C113" s="765"/>
      <c r="D113" s="765"/>
      <c r="E113" s="764"/>
      <c r="F113" s="764"/>
      <c r="G113" s="763"/>
      <c r="H113" s="763"/>
      <c r="I113" s="761"/>
      <c r="J113" s="761"/>
      <c r="K113" s="760"/>
      <c r="L113" s="760"/>
      <c r="M113" s="760"/>
      <c r="N113" s="760"/>
      <c r="O113" s="760"/>
      <c r="P113" s="760"/>
    </row>
    <row r="114" spans="1:16" ht="12.75" hidden="1" x14ac:dyDescent="0.2">
      <c r="A114" s="766"/>
      <c r="B114" s="765"/>
      <c r="C114" s="765"/>
      <c r="D114" s="765"/>
      <c r="E114" s="764"/>
      <c r="F114" s="764"/>
      <c r="G114" s="763"/>
      <c r="H114" s="763"/>
      <c r="I114" s="761"/>
      <c r="J114" s="761"/>
      <c r="K114" s="760"/>
      <c r="L114" s="760"/>
      <c r="M114" s="760"/>
      <c r="N114" s="760"/>
      <c r="O114" s="760"/>
      <c r="P114" s="760"/>
    </row>
    <row r="115" spans="1:16" ht="12.75" hidden="1" x14ac:dyDescent="0.2">
      <c r="A115" s="766"/>
      <c r="B115" s="765"/>
      <c r="C115" s="765"/>
      <c r="D115" s="765"/>
      <c r="E115" s="764"/>
      <c r="F115" s="764"/>
      <c r="G115" s="763"/>
      <c r="H115" s="763"/>
      <c r="I115" s="761"/>
      <c r="J115" s="761"/>
      <c r="K115" s="760"/>
      <c r="L115" s="760"/>
      <c r="M115" s="760"/>
      <c r="N115" s="760"/>
      <c r="O115" s="760"/>
      <c r="P115" s="760"/>
    </row>
    <row r="116" spans="1:16" ht="12.75" hidden="1" x14ac:dyDescent="0.2">
      <c r="A116" s="766"/>
      <c r="B116" s="765"/>
      <c r="C116" s="765"/>
      <c r="D116" s="765"/>
      <c r="E116" s="764"/>
      <c r="F116" s="764"/>
      <c r="G116" s="763"/>
      <c r="H116" s="763"/>
      <c r="I116" s="761"/>
      <c r="J116" s="761"/>
      <c r="K116" s="760"/>
      <c r="L116" s="760"/>
      <c r="M116" s="760"/>
      <c r="N116" s="760"/>
      <c r="O116" s="760"/>
      <c r="P116" s="760"/>
    </row>
    <row r="117" spans="1:16" ht="18.75" hidden="1" x14ac:dyDescent="0.25">
      <c r="A117" s="683"/>
      <c r="B117" s="432"/>
      <c r="C117" s="432"/>
      <c r="D117" s="423" t="s">
        <v>48</v>
      </c>
      <c r="E117" s="422"/>
      <c r="F117" s="422"/>
      <c r="G117" s="680"/>
      <c r="H117" s="769" t="s">
        <v>33</v>
      </c>
      <c r="I117" s="768">
        <f ca="1">IFERROR(__xludf.DUMMYFUNCTION("IMPORTRANGE(""https://docs.google.com/spreadsheets/d/1eHaY18a8A9IcSdp1K8H6x8fbOy06t2VsZHhMHf-1x7Y/edit?usp=sharing"",""แผน!R60"")"),0)</f>
        <v>0</v>
      </c>
      <c r="J117" s="736">
        <v>0</v>
      </c>
      <c r="K117" s="427">
        <f ca="1">IF(I117&gt;0,J117*100/I117,0)</f>
        <v>0</v>
      </c>
      <c r="L117" s="430"/>
      <c r="M117" s="430"/>
      <c r="N117" s="430"/>
      <c r="O117" s="678"/>
      <c r="P117" s="678"/>
    </row>
    <row r="118" spans="1:16" ht="12.75" hidden="1" x14ac:dyDescent="0.2">
      <c r="A118" s="766"/>
      <c r="B118" s="765"/>
      <c r="C118" s="765"/>
      <c r="D118" s="765"/>
      <c r="E118" s="764"/>
      <c r="F118" s="764"/>
      <c r="G118" s="763"/>
      <c r="H118" s="763"/>
      <c r="I118" s="761"/>
      <c r="J118" s="761"/>
      <c r="K118" s="760"/>
      <c r="L118" s="760"/>
      <c r="M118" s="760"/>
      <c r="N118" s="760"/>
      <c r="O118" s="760"/>
      <c r="P118" s="760"/>
    </row>
    <row r="119" spans="1:16" ht="12.75" hidden="1" x14ac:dyDescent="0.2">
      <c r="A119" s="766"/>
      <c r="B119" s="765"/>
      <c r="C119" s="765"/>
      <c r="D119" s="765"/>
      <c r="E119" s="764"/>
      <c r="F119" s="764"/>
      <c r="G119" s="763"/>
      <c r="H119" s="762"/>
      <c r="I119" s="761"/>
      <c r="J119" s="761"/>
      <c r="K119" s="760"/>
      <c r="L119" s="760"/>
      <c r="M119" s="760"/>
      <c r="N119" s="760"/>
      <c r="O119" s="760"/>
      <c r="P119" s="760"/>
    </row>
    <row r="120" spans="1:16" ht="12.75" hidden="1" x14ac:dyDescent="0.2">
      <c r="A120" s="766"/>
      <c r="B120" s="765"/>
      <c r="C120" s="765"/>
      <c r="D120" s="765"/>
      <c r="E120" s="764"/>
      <c r="F120" s="764"/>
      <c r="G120" s="763"/>
      <c r="H120" s="762"/>
      <c r="I120" s="761"/>
      <c r="J120" s="761"/>
      <c r="K120" s="760"/>
      <c r="L120" s="760"/>
      <c r="M120" s="760"/>
      <c r="N120" s="760"/>
      <c r="O120" s="760"/>
      <c r="P120" s="760"/>
    </row>
    <row r="121" spans="1:16" ht="12.75" hidden="1" x14ac:dyDescent="0.2">
      <c r="A121" s="766"/>
      <c r="B121" s="765"/>
      <c r="C121" s="765"/>
      <c r="D121" s="765"/>
      <c r="E121" s="764"/>
      <c r="F121" s="764"/>
      <c r="G121" s="763"/>
      <c r="H121" s="762"/>
      <c r="I121" s="761"/>
      <c r="J121" s="761"/>
      <c r="K121" s="760"/>
      <c r="L121" s="760"/>
      <c r="M121" s="760"/>
      <c r="N121" s="760"/>
      <c r="O121" s="760"/>
      <c r="P121" s="760"/>
    </row>
    <row r="122" spans="1:16" ht="12.75" hidden="1" x14ac:dyDescent="0.2">
      <c r="A122" s="766"/>
      <c r="B122" s="765"/>
      <c r="C122" s="765"/>
      <c r="D122" s="765"/>
      <c r="E122" s="764"/>
      <c r="F122" s="764"/>
      <c r="G122" s="763"/>
      <c r="H122" s="762"/>
      <c r="I122" s="761"/>
      <c r="J122" s="761"/>
      <c r="K122" s="760"/>
      <c r="L122" s="760"/>
      <c r="M122" s="760"/>
      <c r="N122" s="760"/>
      <c r="O122" s="760"/>
      <c r="P122" s="760"/>
    </row>
    <row r="123" spans="1:16" ht="19.5" hidden="1" x14ac:dyDescent="0.3">
      <c r="A123" s="879" t="s">
        <v>49</v>
      </c>
      <c r="B123" s="764"/>
      <c r="C123" s="868"/>
      <c r="D123" s="764"/>
      <c r="E123" s="764"/>
      <c r="F123" s="764"/>
      <c r="G123" s="764"/>
      <c r="H123" s="765"/>
      <c r="I123" s="878"/>
      <c r="J123" s="878"/>
      <c r="K123" s="877"/>
      <c r="L123" s="760"/>
      <c r="M123" s="760"/>
      <c r="N123" s="760"/>
      <c r="O123" s="760"/>
      <c r="P123" s="760"/>
    </row>
    <row r="124" spans="1:16" ht="19.5" hidden="1" x14ac:dyDescent="0.3">
      <c r="A124" s="867"/>
      <c r="B124" s="875" t="s">
        <v>50</v>
      </c>
      <c r="C124" s="868"/>
      <c r="D124" s="765"/>
      <c r="E124" s="764"/>
      <c r="F124" s="764"/>
      <c r="G124" s="763"/>
      <c r="H124" s="762"/>
      <c r="I124" s="876">
        <v>0</v>
      </c>
      <c r="J124" s="876">
        <v>0</v>
      </c>
      <c r="K124" s="864">
        <v>0</v>
      </c>
      <c r="L124" s="760"/>
      <c r="M124" s="760"/>
      <c r="N124" s="760"/>
      <c r="O124" s="760"/>
      <c r="P124" s="760"/>
    </row>
    <row r="125" spans="1:16" ht="19.5" hidden="1" x14ac:dyDescent="0.3">
      <c r="A125" s="867"/>
      <c r="B125" s="764"/>
      <c r="C125" s="875" t="s">
        <v>16</v>
      </c>
      <c r="D125" s="874" t="s">
        <v>17</v>
      </c>
      <c r="E125" s="764"/>
      <c r="F125" s="764"/>
      <c r="G125" s="763"/>
      <c r="H125" s="873" t="s">
        <v>12</v>
      </c>
      <c r="I125" s="761"/>
      <c r="J125" s="761"/>
      <c r="K125" s="760"/>
      <c r="L125" s="872">
        <f ca="1">L126+L127</f>
        <v>0</v>
      </c>
      <c r="M125" s="872">
        <f ca="1">M126+M127</f>
        <v>0</v>
      </c>
      <c r="N125" s="872">
        <f ca="1">N126+N127</f>
        <v>0</v>
      </c>
      <c r="O125" s="872">
        <f t="shared" ref="O125:O133" ca="1" si="18">IF(L125&gt;0,N125*100/L125,0)</f>
        <v>0</v>
      </c>
      <c r="P125" s="872">
        <f t="shared" ref="P125:P133" ca="1" si="19">IF(M125&gt;0,N125*100/M125,0)</f>
        <v>0</v>
      </c>
    </row>
    <row r="126" spans="1:16" ht="18.75" hidden="1" x14ac:dyDescent="0.25">
      <c r="A126" s="867"/>
      <c r="B126" s="764"/>
      <c r="C126" s="764"/>
      <c r="D126" s="764"/>
      <c r="E126" s="188" t="s">
        <v>18</v>
      </c>
      <c r="F126" s="764"/>
      <c r="G126" s="763"/>
      <c r="H126" s="217" t="s">
        <v>12</v>
      </c>
      <c r="I126" s="761"/>
      <c r="J126" s="761"/>
      <c r="K126" s="760"/>
      <c r="L126" s="193">
        <f t="shared" ref="L126:N127" si="20">L129+L132</f>
        <v>0</v>
      </c>
      <c r="M126" s="193">
        <f t="shared" si="20"/>
        <v>0</v>
      </c>
      <c r="N126" s="193">
        <f t="shared" si="20"/>
        <v>0</v>
      </c>
      <c r="O126" s="193">
        <f t="shared" si="18"/>
        <v>0</v>
      </c>
      <c r="P126" s="193">
        <f t="shared" si="19"/>
        <v>0</v>
      </c>
    </row>
    <row r="127" spans="1:16" ht="18.75" hidden="1" x14ac:dyDescent="0.25">
      <c r="A127" s="867"/>
      <c r="B127" s="764"/>
      <c r="C127" s="764"/>
      <c r="D127" s="764"/>
      <c r="E127" s="866" t="s">
        <v>19</v>
      </c>
      <c r="F127" s="764"/>
      <c r="G127" s="763"/>
      <c r="H127" s="865" t="s">
        <v>12</v>
      </c>
      <c r="I127" s="761"/>
      <c r="J127" s="761"/>
      <c r="K127" s="760"/>
      <c r="L127" s="864">
        <f t="shared" ca="1" si="20"/>
        <v>0</v>
      </c>
      <c r="M127" s="864">
        <f t="shared" ca="1" si="20"/>
        <v>0</v>
      </c>
      <c r="N127" s="864">
        <f t="shared" ca="1" si="20"/>
        <v>0</v>
      </c>
      <c r="O127" s="864">
        <f t="shared" ca="1" si="18"/>
        <v>0</v>
      </c>
      <c r="P127" s="864">
        <f t="shared" ca="1" si="19"/>
        <v>0</v>
      </c>
    </row>
    <row r="128" spans="1:16" ht="18.75" hidden="1" x14ac:dyDescent="0.25">
      <c r="A128" s="867"/>
      <c r="B128" s="764"/>
      <c r="C128" s="868"/>
      <c r="D128" s="871" t="s">
        <v>20</v>
      </c>
      <c r="E128" s="764"/>
      <c r="F128" s="764"/>
      <c r="G128" s="763"/>
      <c r="H128" s="870" t="s">
        <v>12</v>
      </c>
      <c r="I128" s="761"/>
      <c r="J128" s="761"/>
      <c r="K128" s="760"/>
      <c r="L128" s="864">
        <f ca="1">L129+L130</f>
        <v>0</v>
      </c>
      <c r="M128" s="864">
        <f ca="1">M129+M130</f>
        <v>0</v>
      </c>
      <c r="N128" s="864">
        <f ca="1">N129+N130</f>
        <v>0</v>
      </c>
      <c r="O128" s="864">
        <f t="shared" ca="1" si="18"/>
        <v>0</v>
      </c>
      <c r="P128" s="864">
        <f t="shared" ca="1" si="19"/>
        <v>0</v>
      </c>
    </row>
    <row r="129" spans="1:16" ht="18.75" hidden="1" x14ac:dyDescent="0.25">
      <c r="A129" s="867"/>
      <c r="B129" s="764"/>
      <c r="C129" s="868"/>
      <c r="D129" s="765"/>
      <c r="E129" s="188" t="s">
        <v>34</v>
      </c>
      <c r="F129" s="764"/>
      <c r="G129" s="763"/>
      <c r="H129" s="220" t="s">
        <v>12</v>
      </c>
      <c r="I129" s="761"/>
      <c r="J129" s="761"/>
      <c r="K129" s="760"/>
      <c r="L129" s="193">
        <v>0</v>
      </c>
      <c r="M129" s="193">
        <v>0</v>
      </c>
      <c r="N129" s="193">
        <v>0</v>
      </c>
      <c r="O129" s="193">
        <f t="shared" si="18"/>
        <v>0</v>
      </c>
      <c r="P129" s="193">
        <f t="shared" si="19"/>
        <v>0</v>
      </c>
    </row>
    <row r="130" spans="1:16" ht="18.75" hidden="1" x14ac:dyDescent="0.25">
      <c r="A130" s="867"/>
      <c r="B130" s="764"/>
      <c r="C130" s="868"/>
      <c r="D130" s="765"/>
      <c r="E130" s="866" t="s">
        <v>35</v>
      </c>
      <c r="F130" s="764"/>
      <c r="G130" s="763"/>
      <c r="H130" s="870" t="s">
        <v>12</v>
      </c>
      <c r="I130" s="761"/>
      <c r="J130" s="761"/>
      <c r="K130" s="760"/>
      <c r="L130" s="864">
        <f ca="1">IFERROR(__xludf.DUMMYFUNCTION("IMPORTRANGE(""https://docs.google.com/spreadsheets/d/1-uDff_7J0KD5mKrp0Vvzr7lt3OU09vwQwhkpOPPYv2Y/edit?usp=sharing"",""งบพรบ!BG60"")"),0)</f>
        <v>0</v>
      </c>
      <c r="M130" s="864">
        <f ca="1">IFERROR(__xludf.DUMMYFUNCTION("IMPORTRANGE(""https://docs.google.com/spreadsheets/d/1-uDff_7J0KD5mKrp0Vvzr7lt3OU09vwQwhkpOPPYv2Y/edit?usp=sharing"",""งบพรบ!BL60"")"),0)</f>
        <v>0</v>
      </c>
      <c r="N130" s="864">
        <f ca="1">IFERROR(__xludf.DUMMYFUNCTION("IMPORTRANGE(""https://docs.google.com/spreadsheets/d/1-uDff_7J0KD5mKrp0Vvzr7lt3OU09vwQwhkpOPPYv2Y/edit?usp=sharing"",""งบพรบ!BN60"")"),0)</f>
        <v>0</v>
      </c>
      <c r="O130" s="864">
        <f t="shared" ca="1" si="18"/>
        <v>0</v>
      </c>
      <c r="P130" s="864">
        <f t="shared" ca="1" si="19"/>
        <v>0</v>
      </c>
    </row>
    <row r="131" spans="1:16" ht="18.75" hidden="1" x14ac:dyDescent="0.25">
      <c r="A131" s="867"/>
      <c r="B131" s="764"/>
      <c r="C131" s="868"/>
      <c r="D131" s="869" t="s">
        <v>21</v>
      </c>
      <c r="E131" s="764"/>
      <c r="F131" s="764"/>
      <c r="G131" s="763"/>
      <c r="H131" s="865" t="s">
        <v>12</v>
      </c>
      <c r="I131" s="761"/>
      <c r="J131" s="761"/>
      <c r="K131" s="760"/>
      <c r="L131" s="864">
        <f ca="1">L132+L133</f>
        <v>0</v>
      </c>
      <c r="M131" s="864">
        <f ca="1">M132+M133</f>
        <v>0</v>
      </c>
      <c r="N131" s="864">
        <f ca="1">N132+N133</f>
        <v>0</v>
      </c>
      <c r="O131" s="864">
        <f t="shared" ca="1" si="18"/>
        <v>0</v>
      </c>
      <c r="P131" s="864">
        <f t="shared" ca="1" si="19"/>
        <v>0</v>
      </c>
    </row>
    <row r="132" spans="1:16" ht="18.75" hidden="1" x14ac:dyDescent="0.25">
      <c r="A132" s="867"/>
      <c r="B132" s="764"/>
      <c r="C132" s="868"/>
      <c r="D132" s="765"/>
      <c r="E132" s="188" t="s">
        <v>18</v>
      </c>
      <c r="F132" s="764"/>
      <c r="G132" s="763"/>
      <c r="H132" s="220" t="s">
        <v>12</v>
      </c>
      <c r="I132" s="761"/>
      <c r="J132" s="761"/>
      <c r="K132" s="760"/>
      <c r="L132" s="193">
        <v>0</v>
      </c>
      <c r="M132" s="193">
        <v>0</v>
      </c>
      <c r="N132" s="193">
        <v>0</v>
      </c>
      <c r="O132" s="193">
        <f t="shared" si="18"/>
        <v>0</v>
      </c>
      <c r="P132" s="193">
        <f t="shared" si="19"/>
        <v>0</v>
      </c>
    </row>
    <row r="133" spans="1:16" ht="18.75" hidden="1" x14ac:dyDescent="0.25">
      <c r="A133" s="867"/>
      <c r="B133" s="764"/>
      <c r="C133" s="764"/>
      <c r="D133" s="764"/>
      <c r="E133" s="866" t="s">
        <v>19</v>
      </c>
      <c r="F133" s="764"/>
      <c r="G133" s="763"/>
      <c r="H133" s="865" t="s">
        <v>12</v>
      </c>
      <c r="I133" s="761"/>
      <c r="J133" s="761"/>
      <c r="K133" s="760"/>
      <c r="L133" s="864">
        <f ca="1">IFERROR(__xludf.DUMMYFUNCTION("IMPORTRANGE(""https://docs.google.com/spreadsheets/d/1-uDff_7J0KD5mKrp0Vvzr7lt3OU09vwQwhkpOPPYv2Y/edit?usp=sharing"",""งบพรบ!BJ60"")"),0)</f>
        <v>0</v>
      </c>
      <c r="M133" s="864">
        <f ca="1">IFERROR(__xludf.DUMMYFUNCTION("IMPORTRANGE(""https://docs.google.com/spreadsheets/d/1-uDff_7J0KD5mKrp0Vvzr7lt3OU09vwQwhkpOPPYv2Y/edit?usp=sharing"",""งบพรบ!BM60"")"),0)</f>
        <v>0</v>
      </c>
      <c r="N133" s="864">
        <f ca="1">IFERROR(__xludf.DUMMYFUNCTION("IMPORTRANGE(""https://docs.google.com/spreadsheets/d/1-uDff_7J0KD5mKrp0Vvzr7lt3OU09vwQwhkpOPPYv2Y/edit?usp=sharing"",""งบพรบ!BO60"")"),0)</f>
        <v>0</v>
      </c>
      <c r="O133" s="864">
        <f t="shared" ca="1" si="18"/>
        <v>0</v>
      </c>
      <c r="P133" s="864">
        <f t="shared" ca="1" si="19"/>
        <v>0</v>
      </c>
    </row>
    <row r="134" spans="1:16" ht="19.5" hidden="1" x14ac:dyDescent="0.3">
      <c r="A134" s="856" t="s">
        <v>51</v>
      </c>
      <c r="B134" s="854"/>
      <c r="C134" s="855"/>
      <c r="D134" s="854"/>
      <c r="E134" s="854"/>
      <c r="F134" s="854"/>
      <c r="G134" s="854"/>
      <c r="H134" s="853"/>
      <c r="I134" s="852"/>
      <c r="J134" s="852"/>
      <c r="K134" s="851"/>
      <c r="L134" s="850"/>
      <c r="M134" s="850"/>
      <c r="N134" s="850"/>
      <c r="O134" s="850"/>
      <c r="P134" s="850"/>
    </row>
    <row r="135" spans="1:16" ht="19.5" hidden="1" x14ac:dyDescent="0.3">
      <c r="A135" s="849"/>
      <c r="B135" s="848" t="s">
        <v>52</v>
      </c>
      <c r="C135" s="860"/>
      <c r="D135" s="859"/>
      <c r="E135" s="847"/>
      <c r="F135" s="847"/>
      <c r="G135" s="847"/>
      <c r="H135" s="859"/>
      <c r="I135" s="863"/>
      <c r="J135" s="862"/>
      <c r="K135" s="842"/>
      <c r="L135" s="842"/>
      <c r="M135" s="842"/>
      <c r="N135" s="842"/>
      <c r="O135" s="842"/>
      <c r="P135" s="842"/>
    </row>
    <row r="136" spans="1:16" ht="19.5" hidden="1" x14ac:dyDescent="0.3">
      <c r="A136" s="849"/>
      <c r="B136" s="847"/>
      <c r="C136" s="861" t="s">
        <v>53</v>
      </c>
      <c r="D136" s="859"/>
      <c r="E136" s="847"/>
      <c r="F136" s="847"/>
      <c r="G136" s="846"/>
      <c r="H136" s="858" t="s">
        <v>54</v>
      </c>
      <c r="I136" s="844">
        <f ca="1">I154</f>
        <v>0</v>
      </c>
      <c r="J136" s="844">
        <f>J154</f>
        <v>0</v>
      </c>
      <c r="K136" s="843">
        <f ca="1">IF(I136&gt;0,J136*100/I136,0)</f>
        <v>0</v>
      </c>
      <c r="L136" s="842"/>
      <c r="M136" s="842"/>
      <c r="N136" s="842"/>
      <c r="O136" s="842"/>
      <c r="P136" s="842"/>
    </row>
    <row r="137" spans="1:16" ht="19.5" hidden="1" x14ac:dyDescent="0.3">
      <c r="A137" s="849"/>
      <c r="B137" s="847"/>
      <c r="C137" s="861" t="s">
        <v>55</v>
      </c>
      <c r="D137" s="859"/>
      <c r="E137" s="847"/>
      <c r="F137" s="847"/>
      <c r="G137" s="846"/>
      <c r="H137" s="858" t="s">
        <v>33</v>
      </c>
      <c r="I137" s="844">
        <f ca="1">I152</f>
        <v>0</v>
      </c>
      <c r="J137" s="844">
        <f>J152</f>
        <v>0</v>
      </c>
      <c r="K137" s="843">
        <f ca="1">IF(I137&gt;0,J137*100/I137,0)</f>
        <v>0</v>
      </c>
      <c r="L137" s="842"/>
      <c r="M137" s="842"/>
      <c r="N137" s="842"/>
      <c r="O137" s="842"/>
      <c r="P137" s="842"/>
    </row>
    <row r="138" spans="1:16" ht="19.5" hidden="1" x14ac:dyDescent="0.3">
      <c r="A138" s="849"/>
      <c r="B138" s="847"/>
      <c r="C138" s="860"/>
      <c r="D138" s="859"/>
      <c r="E138" s="847"/>
      <c r="F138" s="847"/>
      <c r="G138" s="846"/>
      <c r="H138" s="858" t="s">
        <v>56</v>
      </c>
      <c r="I138" s="844">
        <f ca="1">I153</f>
        <v>0</v>
      </c>
      <c r="J138" s="844">
        <f>J153</f>
        <v>0</v>
      </c>
      <c r="K138" s="843">
        <f ca="1">IF(I138&gt;0,J138*100/I138,0)</f>
        <v>0</v>
      </c>
      <c r="L138" s="842"/>
      <c r="M138" s="842"/>
      <c r="N138" s="842"/>
      <c r="O138" s="842"/>
      <c r="P138" s="842"/>
    </row>
    <row r="139" spans="1:16" ht="19.5" hidden="1" x14ac:dyDescent="0.3">
      <c r="A139" s="684"/>
      <c r="B139" s="420"/>
      <c r="C139" s="718" t="s">
        <v>16</v>
      </c>
      <c r="D139" s="717" t="s">
        <v>17</v>
      </c>
      <c r="E139" s="420"/>
      <c r="F139" s="420"/>
      <c r="G139" s="424"/>
      <c r="H139" s="716" t="s">
        <v>12</v>
      </c>
      <c r="I139" s="429"/>
      <c r="J139" s="429"/>
      <c r="K139" s="430"/>
      <c r="L139" s="715">
        <f ca="1">L140+L141</f>
        <v>0</v>
      </c>
      <c r="M139" s="715">
        <f ca="1">M140+M141</f>
        <v>0</v>
      </c>
      <c r="N139" s="715">
        <f ca="1">N140+N141</f>
        <v>0</v>
      </c>
      <c r="O139" s="715">
        <f t="shared" ref="O139:O147" ca="1" si="21">IF(L139&gt;0,N139*100/L139,0)</f>
        <v>0</v>
      </c>
      <c r="P139" s="715">
        <f t="shared" ref="P139:P147" ca="1" si="22">IF(M139&gt;0,N139*100/M139,0)</f>
        <v>0</v>
      </c>
    </row>
    <row r="140" spans="1:16" ht="18.75" hidden="1" x14ac:dyDescent="0.25">
      <c r="A140" s="684"/>
      <c r="B140" s="420"/>
      <c r="C140" s="420"/>
      <c r="D140" s="420"/>
      <c r="E140" s="520" t="s">
        <v>18</v>
      </c>
      <c r="F140" s="420"/>
      <c r="G140" s="424"/>
      <c r="H140" s="524" t="s">
        <v>12</v>
      </c>
      <c r="I140" s="429"/>
      <c r="J140" s="429"/>
      <c r="K140" s="430"/>
      <c r="L140" s="502">
        <f t="shared" ref="L140:N141" si="23">L143+L146</f>
        <v>0</v>
      </c>
      <c r="M140" s="502">
        <f t="shared" si="23"/>
        <v>0</v>
      </c>
      <c r="N140" s="502">
        <f t="shared" si="23"/>
        <v>0</v>
      </c>
      <c r="O140" s="502">
        <f t="shared" si="21"/>
        <v>0</v>
      </c>
      <c r="P140" s="502">
        <f t="shared" si="22"/>
        <v>0</v>
      </c>
    </row>
    <row r="141" spans="1:16" ht="18.75" hidden="1" x14ac:dyDescent="0.25">
      <c r="A141" s="684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t="shared" ca="1" si="23"/>
        <v>0</v>
      </c>
      <c r="M141" s="427">
        <f t="shared" ca="1" si="23"/>
        <v>0</v>
      </c>
      <c r="N141" s="427">
        <f t="shared" ca="1" si="23"/>
        <v>0</v>
      </c>
      <c r="O141" s="427">
        <f t="shared" ca="1" si="21"/>
        <v>0</v>
      </c>
      <c r="P141" s="427">
        <f t="shared" ca="1" si="22"/>
        <v>0</v>
      </c>
    </row>
    <row r="142" spans="1:16" ht="18.75" hidden="1" x14ac:dyDescent="0.25">
      <c r="A142" s="684"/>
      <c r="B142" s="421"/>
      <c r="C142" s="420"/>
      <c r="D142" s="713" t="s">
        <v>20</v>
      </c>
      <c r="E142" s="420"/>
      <c r="F142" s="420"/>
      <c r="G142" s="424"/>
      <c r="H142" s="714" t="s">
        <v>12</v>
      </c>
      <c r="I142" s="679"/>
      <c r="J142" s="679"/>
      <c r="K142" s="678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t="shared" ca="1" si="21"/>
        <v>0</v>
      </c>
      <c r="P142" s="427">
        <f t="shared" ca="1" si="22"/>
        <v>0</v>
      </c>
    </row>
    <row r="143" spans="1:16" ht="18.75" hidden="1" x14ac:dyDescent="0.25">
      <c r="A143" s="684"/>
      <c r="B143" s="420"/>
      <c r="C143" s="420"/>
      <c r="D143" s="420"/>
      <c r="E143" s="520" t="s">
        <v>34</v>
      </c>
      <c r="F143" s="420"/>
      <c r="G143" s="424"/>
      <c r="H143" s="522" t="s">
        <v>12</v>
      </c>
      <c r="I143" s="679"/>
      <c r="J143" s="679"/>
      <c r="K143" s="678"/>
      <c r="L143" s="502">
        <v>0</v>
      </c>
      <c r="M143" s="502">
        <v>0</v>
      </c>
      <c r="N143" s="502">
        <v>0</v>
      </c>
      <c r="O143" s="502">
        <f t="shared" si="21"/>
        <v>0</v>
      </c>
      <c r="P143" s="502">
        <f t="shared" si="22"/>
        <v>0</v>
      </c>
    </row>
    <row r="144" spans="1:16" ht="18.75" hidden="1" x14ac:dyDescent="0.25">
      <c r="A144" s="684"/>
      <c r="B144" s="420"/>
      <c r="C144" s="420"/>
      <c r="D144" s="420"/>
      <c r="E144" s="295" t="s">
        <v>35</v>
      </c>
      <c r="F144" s="420"/>
      <c r="G144" s="424"/>
      <c r="H144" s="714" t="s">
        <v>12</v>
      </c>
      <c r="I144" s="679"/>
      <c r="J144" s="679"/>
      <c r="K144" s="678"/>
      <c r="L144" s="427">
        <f ca="1">IFERROR(__xludf.DUMMYFUNCTION("IMPORTRANGE(""https://docs.google.com/spreadsheets/d/1-uDff_7J0KD5mKrp0Vvzr7lt3OU09vwQwhkpOPPYv2Y/edit?usp=sharing"",""งบพรบ!BQ60"")"),0)</f>
        <v>0</v>
      </c>
      <c r="M144" s="427">
        <f ca="1">IFERROR(__xludf.DUMMYFUNCTION("IMPORTRANGE(""https://docs.google.com/spreadsheets/d/1-uDff_7J0KD5mKrp0Vvzr7lt3OU09vwQwhkpOPPYv2Y/edit?usp=sharing"",""งบพรบ!BV60"")"),0)</f>
        <v>0</v>
      </c>
      <c r="N144" s="427">
        <f ca="1">IFERROR(__xludf.DUMMYFUNCTION("IMPORTRANGE(""https://docs.google.com/spreadsheets/d/1-uDff_7J0KD5mKrp0Vvzr7lt3OU09vwQwhkpOPPYv2Y/edit?usp=sharing"",""งบพรบ!BX60"")"),0)</f>
        <v>0</v>
      </c>
      <c r="O144" s="427">
        <f t="shared" ca="1" si="21"/>
        <v>0</v>
      </c>
      <c r="P144" s="427">
        <f t="shared" ca="1" si="22"/>
        <v>0</v>
      </c>
    </row>
    <row r="145" spans="1:16" ht="18.75" hidden="1" x14ac:dyDescent="0.25">
      <c r="A145" s="684"/>
      <c r="B145" s="420"/>
      <c r="C145" s="420"/>
      <c r="D145" s="713" t="s">
        <v>21</v>
      </c>
      <c r="E145" s="420"/>
      <c r="F145" s="420"/>
      <c r="G145" s="424"/>
      <c r="H145" s="705" t="s">
        <v>12</v>
      </c>
      <c r="I145" s="679"/>
      <c r="J145" s="679"/>
      <c r="K145" s="678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t="shared" ca="1" si="21"/>
        <v>0</v>
      </c>
      <c r="P145" s="427">
        <f t="shared" ca="1" si="22"/>
        <v>0</v>
      </c>
    </row>
    <row r="146" spans="1:16" ht="18.75" hidden="1" x14ac:dyDescent="0.25">
      <c r="A146" s="684"/>
      <c r="B146" s="420"/>
      <c r="C146" s="420"/>
      <c r="D146" s="420"/>
      <c r="E146" s="520" t="s">
        <v>18</v>
      </c>
      <c r="F146" s="420"/>
      <c r="G146" s="424"/>
      <c r="H146" s="522" t="s">
        <v>12</v>
      </c>
      <c r="I146" s="679"/>
      <c r="J146" s="679"/>
      <c r="K146" s="678"/>
      <c r="L146" s="502">
        <v>0</v>
      </c>
      <c r="M146" s="502">
        <v>0</v>
      </c>
      <c r="N146" s="502">
        <v>0</v>
      </c>
      <c r="O146" s="502">
        <f t="shared" si="21"/>
        <v>0</v>
      </c>
      <c r="P146" s="502">
        <f t="shared" si="22"/>
        <v>0</v>
      </c>
    </row>
    <row r="147" spans="1:16" ht="18.75" hidden="1" x14ac:dyDescent="0.25">
      <c r="A147" s="684"/>
      <c r="B147" s="420"/>
      <c r="C147" s="420"/>
      <c r="D147" s="420"/>
      <c r="E147" s="295" t="s">
        <v>19</v>
      </c>
      <c r="F147" s="420"/>
      <c r="G147" s="424"/>
      <c r="H147" s="705" t="s">
        <v>12</v>
      </c>
      <c r="I147" s="679"/>
      <c r="J147" s="679"/>
      <c r="K147" s="678"/>
      <c r="L147" s="427">
        <f ca="1">IFERROR(__xludf.DUMMYFUNCTION("IMPORTRANGE(""https://docs.google.com/spreadsheets/d/1-uDff_7J0KD5mKrp0Vvzr7lt3OU09vwQwhkpOPPYv2Y/edit?usp=sharing"",""งบพรบ!BT60"")"),0)</f>
        <v>0</v>
      </c>
      <c r="M147" s="427">
        <f ca="1">IFERROR(__xludf.DUMMYFUNCTION("IMPORTRANGE(""https://docs.google.com/spreadsheets/d/1-uDff_7J0KD5mKrp0Vvzr7lt3OU09vwQwhkpOPPYv2Y/edit?usp=sharing"",""งบพรบ!BW60"")"),0)</f>
        <v>0</v>
      </c>
      <c r="N147" s="427">
        <f ca="1">IFERROR(__xludf.DUMMYFUNCTION("IMPORTRANGE(""https://docs.google.com/spreadsheets/d/1-uDff_7J0KD5mKrp0Vvzr7lt3OU09vwQwhkpOPPYv2Y/edit?usp=sharing"",""งบพรบ!BY60"")"),0)</f>
        <v>0</v>
      </c>
      <c r="O147" s="427">
        <f t="shared" ca="1" si="21"/>
        <v>0</v>
      </c>
      <c r="P147" s="427">
        <f t="shared" ca="1" si="22"/>
        <v>0</v>
      </c>
    </row>
    <row r="148" spans="1:16" ht="19.5" hidden="1" x14ac:dyDescent="0.3">
      <c r="A148" s="683"/>
      <c r="B148" s="432"/>
      <c r="C148" s="718" t="s">
        <v>16</v>
      </c>
      <c r="D148" s="737" t="s">
        <v>36</v>
      </c>
      <c r="E148" s="682"/>
      <c r="F148" s="682"/>
      <c r="G148" s="681"/>
      <c r="H148" s="708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684"/>
      <c r="B149" s="420"/>
      <c r="C149" s="857"/>
      <c r="D149" s="295" t="s">
        <v>57</v>
      </c>
      <c r="E149" s="420"/>
      <c r="F149" s="420"/>
      <c r="G149" s="424"/>
      <c r="H149" s="708"/>
      <c r="I149" s="429"/>
      <c r="J149" s="736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684"/>
      <c r="B150" s="420"/>
      <c r="C150" s="420"/>
      <c r="D150" s="422"/>
      <c r="E150" s="718" t="s">
        <v>162</v>
      </c>
      <c r="F150" s="420"/>
      <c r="G150" s="424"/>
      <c r="H150" s="705" t="s">
        <v>33</v>
      </c>
      <c r="I150" s="426">
        <f ca="1">IFERROR(__xludf.DUMMYFUNCTION("IMPORTRANGE(""https://docs.google.com/spreadsheets/d/1eHaY18a8A9IcSdp1K8H6x8fbOy06t2VsZHhMHf-1x7Y/edit?usp=sharing"",""แผน!U60"")"),0)</f>
        <v>0</v>
      </c>
      <c r="J150" s="736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684"/>
      <c r="B151" s="420"/>
      <c r="C151" s="420"/>
      <c r="D151" s="422"/>
      <c r="E151" s="420"/>
      <c r="F151" s="420"/>
      <c r="G151" s="424"/>
      <c r="H151" s="705" t="s">
        <v>56</v>
      </c>
      <c r="I151" s="426">
        <f ca="1">IFERROR(__xludf.DUMMYFUNCTION("IMPORTRANGE(""https://docs.google.com/spreadsheets/d/1eHaY18a8A9IcSdp1K8H6x8fbOy06t2VsZHhMHf-1x7Y/edit?usp=sharing"",""แผน!V60"")"),0)</f>
        <v>0</v>
      </c>
      <c r="J151" s="736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684"/>
      <c r="B152" s="420"/>
      <c r="C152" s="420"/>
      <c r="D152" s="422"/>
      <c r="E152" s="718" t="s">
        <v>161</v>
      </c>
      <c r="F152" s="420"/>
      <c r="G152" s="424"/>
      <c r="H152" s="705" t="s">
        <v>33</v>
      </c>
      <c r="I152" s="426">
        <f ca="1">IFERROR(__xludf.DUMMYFUNCTION("IMPORTRANGE(""https://docs.google.com/spreadsheets/d/1eHaY18a8A9IcSdp1K8H6x8fbOy06t2VsZHhMHf-1x7Y/edit?usp=sharing"",""แผน!W60"")"),0)</f>
        <v>0</v>
      </c>
      <c r="J152" s="736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684"/>
      <c r="B153" s="420"/>
      <c r="C153" s="420"/>
      <c r="D153" s="420"/>
      <c r="E153" s="420"/>
      <c r="F153" s="420"/>
      <c r="G153" s="424"/>
      <c r="H153" s="705" t="s">
        <v>56</v>
      </c>
      <c r="I153" s="426">
        <f ca="1">IFERROR(__xludf.DUMMYFUNCTION("IMPORTRANGE(""https://docs.google.com/spreadsheets/d/1eHaY18a8A9IcSdp1K8H6x8fbOy06t2VsZHhMHf-1x7Y/edit?usp=sharing"",""แผน!X60"")"),0)</f>
        <v>0</v>
      </c>
      <c r="J153" s="736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684"/>
      <c r="B154" s="420"/>
      <c r="C154" s="420"/>
      <c r="D154" s="295" t="s">
        <v>60</v>
      </c>
      <c r="E154" s="420"/>
      <c r="F154" s="420"/>
      <c r="G154" s="424"/>
      <c r="H154" s="705" t="s">
        <v>54</v>
      </c>
      <c r="I154" s="426">
        <f ca="1">IFERROR(__xludf.DUMMYFUNCTION("IMPORTRANGE(""https://docs.google.com/spreadsheets/d/1eHaY18a8A9IcSdp1K8H6x8fbOy06t2VsZHhMHf-1x7Y/edit?usp=sharing"",""แผน!Y60"")"),0)</f>
        <v>0</v>
      </c>
      <c r="J154" s="736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56" t="s">
        <v>61</v>
      </c>
      <c r="B155" s="854"/>
      <c r="C155" s="855"/>
      <c r="D155" s="854"/>
      <c r="E155" s="854"/>
      <c r="F155" s="854"/>
      <c r="G155" s="854"/>
      <c r="H155" s="853"/>
      <c r="I155" s="852"/>
      <c r="J155" s="852"/>
      <c r="K155" s="851"/>
      <c r="L155" s="850"/>
      <c r="M155" s="850"/>
      <c r="N155" s="850"/>
      <c r="O155" s="850"/>
      <c r="P155" s="850"/>
    </row>
    <row r="156" spans="1:16" ht="19.5" hidden="1" x14ac:dyDescent="0.3">
      <c r="A156" s="849"/>
      <c r="B156" s="848" t="s">
        <v>62</v>
      </c>
      <c r="C156" s="847"/>
      <c r="D156" s="847"/>
      <c r="E156" s="847"/>
      <c r="F156" s="847"/>
      <c r="G156" s="846"/>
      <c r="H156" s="845" t="s">
        <v>33</v>
      </c>
      <c r="I156" s="844">
        <f ca="1">I169</f>
        <v>0</v>
      </c>
      <c r="J156" s="844">
        <f>J169</f>
        <v>0</v>
      </c>
      <c r="K156" s="843">
        <f ca="1">IF(I156&gt;0,J156*100/I156,0)</f>
        <v>0</v>
      </c>
      <c r="L156" s="842"/>
      <c r="M156" s="842"/>
      <c r="N156" s="842"/>
      <c r="O156" s="842"/>
      <c r="P156" s="842"/>
    </row>
    <row r="157" spans="1:16" ht="19.5" hidden="1" x14ac:dyDescent="0.3">
      <c r="A157" s="684"/>
      <c r="B157" s="420"/>
      <c r="C157" s="718" t="s">
        <v>16</v>
      </c>
      <c r="D157" s="717" t="s">
        <v>17</v>
      </c>
      <c r="E157" s="420"/>
      <c r="F157" s="420"/>
      <c r="G157" s="424"/>
      <c r="H157" s="716" t="s">
        <v>12</v>
      </c>
      <c r="I157" s="429"/>
      <c r="J157" s="429"/>
      <c r="K157" s="430"/>
      <c r="L157" s="715">
        <f ca="1">L158+L159</f>
        <v>0</v>
      </c>
      <c r="M157" s="715">
        <f ca="1">M158+M159</f>
        <v>0</v>
      </c>
      <c r="N157" s="715">
        <f ca="1">N158+N159</f>
        <v>0</v>
      </c>
      <c r="O157" s="715">
        <f t="shared" ref="O157:O165" ca="1" si="24">IF(L157&gt;0,N157*100/L157,0)</f>
        <v>0</v>
      </c>
      <c r="P157" s="715">
        <f t="shared" ref="P157:P165" ca="1" si="25">IF(M157&gt;0,N157*100/M157,0)</f>
        <v>0</v>
      </c>
    </row>
    <row r="158" spans="1:16" ht="18.75" hidden="1" x14ac:dyDescent="0.25">
      <c r="A158" s="684"/>
      <c r="B158" s="420"/>
      <c r="C158" s="420"/>
      <c r="D158" s="420"/>
      <c r="E158" s="520" t="s">
        <v>18</v>
      </c>
      <c r="F158" s="420"/>
      <c r="G158" s="424"/>
      <c r="H158" s="524" t="s">
        <v>12</v>
      </c>
      <c r="I158" s="429"/>
      <c r="J158" s="429"/>
      <c r="K158" s="430"/>
      <c r="L158" s="502">
        <f t="shared" ref="L158:N159" si="26">L161+L164</f>
        <v>0</v>
      </c>
      <c r="M158" s="502">
        <f t="shared" si="26"/>
        <v>0</v>
      </c>
      <c r="N158" s="502">
        <f t="shared" si="26"/>
        <v>0</v>
      </c>
      <c r="O158" s="502">
        <f t="shared" si="24"/>
        <v>0</v>
      </c>
      <c r="P158" s="502">
        <f t="shared" si="25"/>
        <v>0</v>
      </c>
    </row>
    <row r="159" spans="1:16" ht="18.75" hidden="1" x14ac:dyDescent="0.25">
      <c r="A159" s="684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t="shared" ca="1" si="26"/>
        <v>0</v>
      </c>
      <c r="M159" s="427">
        <f t="shared" ca="1" si="26"/>
        <v>0</v>
      </c>
      <c r="N159" s="427">
        <f t="shared" ca="1" si="26"/>
        <v>0</v>
      </c>
      <c r="O159" s="427">
        <f t="shared" ca="1" si="24"/>
        <v>0</v>
      </c>
      <c r="P159" s="427">
        <f t="shared" ca="1" si="25"/>
        <v>0</v>
      </c>
    </row>
    <row r="160" spans="1:16" ht="18.75" hidden="1" x14ac:dyDescent="0.25">
      <c r="A160" s="684"/>
      <c r="B160" s="421"/>
      <c r="C160" s="420"/>
      <c r="D160" s="713" t="s">
        <v>20</v>
      </c>
      <c r="E160" s="420"/>
      <c r="F160" s="420"/>
      <c r="G160" s="424"/>
      <c r="H160" s="714" t="s">
        <v>12</v>
      </c>
      <c r="I160" s="679"/>
      <c r="J160" s="679"/>
      <c r="K160" s="678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t="shared" ca="1" si="24"/>
        <v>0</v>
      </c>
      <c r="P160" s="427">
        <f t="shared" ca="1" si="25"/>
        <v>0</v>
      </c>
    </row>
    <row r="161" spans="1:16" ht="18.75" hidden="1" x14ac:dyDescent="0.25">
      <c r="A161" s="684"/>
      <c r="B161" s="420"/>
      <c r="C161" s="420"/>
      <c r="D161" s="420"/>
      <c r="E161" s="520" t="s">
        <v>34</v>
      </c>
      <c r="F161" s="420"/>
      <c r="G161" s="424"/>
      <c r="H161" s="522" t="s">
        <v>12</v>
      </c>
      <c r="I161" s="679"/>
      <c r="J161" s="679"/>
      <c r="K161" s="678"/>
      <c r="L161" s="502">
        <v>0</v>
      </c>
      <c r="M161" s="502">
        <v>0</v>
      </c>
      <c r="N161" s="502">
        <v>0</v>
      </c>
      <c r="O161" s="502">
        <f t="shared" si="24"/>
        <v>0</v>
      </c>
      <c r="P161" s="502">
        <f t="shared" si="25"/>
        <v>0</v>
      </c>
    </row>
    <row r="162" spans="1:16" ht="18.75" hidden="1" x14ac:dyDescent="0.25">
      <c r="A162" s="684"/>
      <c r="B162" s="420"/>
      <c r="C162" s="420"/>
      <c r="D162" s="420"/>
      <c r="E162" s="295" t="s">
        <v>35</v>
      </c>
      <c r="F162" s="420"/>
      <c r="G162" s="424"/>
      <c r="H162" s="714" t="s">
        <v>12</v>
      </c>
      <c r="I162" s="679"/>
      <c r="J162" s="679"/>
      <c r="K162" s="678"/>
      <c r="L162" s="427">
        <f ca="1">IFERROR(__xludf.DUMMYFUNCTION("IMPORTRANGE(""https://docs.google.com/spreadsheets/d/1-uDff_7J0KD5mKrp0Vvzr7lt3OU09vwQwhkpOPPYv2Y/edit?usp=sharing"",""งบพรบ!CA60"")"),0)</f>
        <v>0</v>
      </c>
      <c r="M162" s="427">
        <f ca="1">IFERROR(__xludf.DUMMYFUNCTION("IMPORTRANGE(""https://docs.google.com/spreadsheets/d/1-uDff_7J0KD5mKrp0Vvzr7lt3OU09vwQwhkpOPPYv2Y/edit?usp=sharing"",""งบพรบ!CF60"")"),0)</f>
        <v>0</v>
      </c>
      <c r="N162" s="427">
        <f ca="1">IFERROR(__xludf.DUMMYFUNCTION("IMPORTRANGE(""https://docs.google.com/spreadsheets/d/1-uDff_7J0KD5mKrp0Vvzr7lt3OU09vwQwhkpOPPYv2Y/edit?usp=sharing"",""งบพรบ!CH60"")"),0)</f>
        <v>0</v>
      </c>
      <c r="O162" s="427">
        <f t="shared" ca="1" si="24"/>
        <v>0</v>
      </c>
      <c r="P162" s="427">
        <f t="shared" ca="1" si="25"/>
        <v>0</v>
      </c>
    </row>
    <row r="163" spans="1:16" ht="18.75" hidden="1" x14ac:dyDescent="0.25">
      <c r="A163" s="684"/>
      <c r="B163" s="420"/>
      <c r="C163" s="420"/>
      <c r="D163" s="713" t="s">
        <v>21</v>
      </c>
      <c r="E163" s="420"/>
      <c r="F163" s="420"/>
      <c r="G163" s="424"/>
      <c r="H163" s="705" t="s">
        <v>12</v>
      </c>
      <c r="I163" s="679"/>
      <c r="J163" s="679"/>
      <c r="K163" s="678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t="shared" ca="1" si="24"/>
        <v>0</v>
      </c>
      <c r="P163" s="427">
        <f t="shared" ca="1" si="25"/>
        <v>0</v>
      </c>
    </row>
    <row r="164" spans="1:16" ht="18.75" hidden="1" x14ac:dyDescent="0.25">
      <c r="A164" s="684"/>
      <c r="B164" s="421"/>
      <c r="C164" s="421"/>
      <c r="D164" s="421"/>
      <c r="E164" s="520" t="s">
        <v>18</v>
      </c>
      <c r="F164" s="420"/>
      <c r="G164" s="424"/>
      <c r="H164" s="522" t="s">
        <v>12</v>
      </c>
      <c r="I164" s="679"/>
      <c r="J164" s="679"/>
      <c r="K164" s="678"/>
      <c r="L164" s="502">
        <v>0</v>
      </c>
      <c r="M164" s="502">
        <v>0</v>
      </c>
      <c r="N164" s="502">
        <v>0</v>
      </c>
      <c r="O164" s="502">
        <f t="shared" si="24"/>
        <v>0</v>
      </c>
      <c r="P164" s="502">
        <f t="shared" si="25"/>
        <v>0</v>
      </c>
    </row>
    <row r="165" spans="1:16" ht="18.75" hidden="1" x14ac:dyDescent="0.25">
      <c r="A165" s="684"/>
      <c r="B165" s="421"/>
      <c r="C165" s="421"/>
      <c r="D165" s="420"/>
      <c r="E165" s="295" t="s">
        <v>19</v>
      </c>
      <c r="F165" s="420"/>
      <c r="G165" s="424"/>
      <c r="H165" s="705" t="s">
        <v>12</v>
      </c>
      <c r="I165" s="679"/>
      <c r="J165" s="679"/>
      <c r="K165" s="678"/>
      <c r="L165" s="427">
        <f ca="1">IFERROR(__xludf.DUMMYFUNCTION("IMPORTRANGE(""https://docs.google.com/spreadsheets/d/1-uDff_7J0KD5mKrp0Vvzr7lt3OU09vwQwhkpOPPYv2Y/edit?usp=sharing"",""งบพรบ!CD60"")"),0)</f>
        <v>0</v>
      </c>
      <c r="M165" s="427">
        <f ca="1">IFERROR(__xludf.DUMMYFUNCTION("IMPORTRANGE(""https://docs.google.com/spreadsheets/d/1-uDff_7J0KD5mKrp0Vvzr7lt3OU09vwQwhkpOPPYv2Y/edit?usp=sharing"",""งบพรบ!CG60"")"),0)</f>
        <v>0</v>
      </c>
      <c r="N165" s="427">
        <f ca="1">IFERROR(__xludf.DUMMYFUNCTION("IMPORTRANGE(""https://docs.google.com/spreadsheets/d/1-uDff_7J0KD5mKrp0Vvzr7lt3OU09vwQwhkpOPPYv2Y/edit?usp=sharing"",""งบพรบ!CI60"")"),0)</f>
        <v>0</v>
      </c>
      <c r="O165" s="427">
        <f t="shared" ca="1" si="24"/>
        <v>0</v>
      </c>
      <c r="P165" s="427">
        <f t="shared" ca="1" si="25"/>
        <v>0</v>
      </c>
    </row>
    <row r="166" spans="1:16" ht="19.5" hidden="1" x14ac:dyDescent="0.3">
      <c r="A166" s="683"/>
      <c r="B166" s="432"/>
      <c r="C166" s="711" t="s">
        <v>16</v>
      </c>
      <c r="D166" s="737" t="s">
        <v>36</v>
      </c>
      <c r="E166" s="682"/>
      <c r="F166" s="682"/>
      <c r="G166" s="681"/>
      <c r="H166" s="708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684"/>
      <c r="B167" s="420"/>
      <c r="C167" s="420"/>
      <c r="D167" s="295" t="s">
        <v>63</v>
      </c>
      <c r="E167" s="420"/>
      <c r="F167" s="420"/>
      <c r="G167" s="424"/>
      <c r="H167" s="705" t="s">
        <v>33</v>
      </c>
      <c r="I167" s="426">
        <f ca="1">IFERROR(__xludf.DUMMYFUNCTION("IMPORTRANGE(""https://docs.google.com/spreadsheets/d/1eHaY18a8A9IcSdp1K8H6x8fbOy06t2VsZHhMHf-1x7Y/edit?usp=sharing"",""แผน!Z60"")"),0)</f>
        <v>0</v>
      </c>
      <c r="J167" s="736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684"/>
      <c r="B168" s="420"/>
      <c r="C168" s="420"/>
      <c r="D168" s="520" t="s">
        <v>64</v>
      </c>
      <c r="E168" s="420"/>
      <c r="F168" s="420"/>
      <c r="G168" s="424"/>
      <c r="H168" s="519" t="s">
        <v>33</v>
      </c>
      <c r="I168" s="201">
        <f ca="1">IFERROR(__xludf.DUMMYFUNCTION("IMPORTRANGE(""https://docs.google.com/spreadsheets/d/1eHaY18a8A9IcSdp1K8H6x8fbOy06t2VsZHhMHf-1x7Y/edit?usp=sharing"",""แผน!Z60"")"),0)</f>
        <v>0</v>
      </c>
      <c r="J168" s="503">
        <v>0</v>
      </c>
      <c r="K168" s="50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41"/>
      <c r="B169" s="629"/>
      <c r="C169" s="629"/>
      <c r="D169" s="840" t="s">
        <v>65</v>
      </c>
      <c r="E169" s="629"/>
      <c r="F169" s="629"/>
      <c r="G169" s="628"/>
      <c r="H169" s="839" t="s">
        <v>33</v>
      </c>
      <c r="I169" s="493">
        <f ca="1">IFERROR(__xludf.DUMMYFUNCTION("IMPORTRANGE(""https://docs.google.com/spreadsheets/d/1eHaY18a8A9IcSdp1K8H6x8fbOy06t2VsZHhMHf-1x7Y/edit?usp=sharing"",""แผน!Z60"")"),0)</f>
        <v>0</v>
      </c>
      <c r="J169" s="492">
        <v>0</v>
      </c>
      <c r="K169" s="491">
        <f ca="1">IF(I169&gt;0,J169*100/I169,0)</f>
        <v>0</v>
      </c>
      <c r="L169" s="625"/>
      <c r="M169" s="625"/>
      <c r="N169" s="625"/>
      <c r="O169" s="625"/>
      <c r="P169" s="625"/>
    </row>
    <row r="170" spans="1:16" ht="19.5" x14ac:dyDescent="0.3">
      <c r="A170" s="838" t="s">
        <v>66</v>
      </c>
      <c r="B170" s="836"/>
      <c r="C170" s="836"/>
      <c r="D170" s="836"/>
      <c r="E170" s="837"/>
      <c r="F170" s="837"/>
      <c r="G170" s="837"/>
      <c r="H170" s="836"/>
      <c r="I170" s="835"/>
      <c r="J170" s="835"/>
      <c r="K170" s="834"/>
      <c r="L170" s="834"/>
      <c r="M170" s="834"/>
      <c r="N170" s="834"/>
      <c r="O170" s="834"/>
      <c r="P170" s="833"/>
    </row>
    <row r="171" spans="1:16" ht="19.5" x14ac:dyDescent="0.3">
      <c r="A171" s="832" t="s">
        <v>67</v>
      </c>
      <c r="B171" s="813"/>
      <c r="C171" s="813"/>
      <c r="D171" s="812"/>
      <c r="E171" s="812"/>
      <c r="F171" s="812"/>
      <c r="G171" s="812"/>
      <c r="H171" s="810"/>
      <c r="I171" s="809"/>
      <c r="J171" s="809"/>
      <c r="K171" s="808"/>
      <c r="L171" s="808"/>
      <c r="M171" s="808"/>
      <c r="N171" s="808"/>
      <c r="O171" s="808"/>
      <c r="P171" s="808"/>
    </row>
    <row r="172" spans="1:16" ht="19.5" x14ac:dyDescent="0.3">
      <c r="A172" s="807"/>
      <c r="B172" s="728" t="s">
        <v>68</v>
      </c>
      <c r="C172" s="744"/>
      <c r="D172" s="682"/>
      <c r="E172" s="682"/>
      <c r="F172" s="682"/>
      <c r="G172" s="681"/>
      <c r="H172" s="830" t="s">
        <v>33</v>
      </c>
      <c r="I172" s="829">
        <f ca="1">I183+I184</f>
        <v>7</v>
      </c>
      <c r="J172" s="829">
        <f>J183+J184</f>
        <v>0</v>
      </c>
      <c r="K172" s="828">
        <f ca="1">IF(I172&gt;0,J172*100/I172,0)</f>
        <v>0</v>
      </c>
      <c r="L172" s="804"/>
      <c r="M172" s="804"/>
      <c r="N172" s="804"/>
      <c r="O172" s="804"/>
      <c r="P172" s="804"/>
    </row>
    <row r="173" spans="1:16" ht="19.5" x14ac:dyDescent="0.3">
      <c r="A173" s="684"/>
      <c r="B173" s="420"/>
      <c r="C173" s="718" t="s">
        <v>16</v>
      </c>
      <c r="D173" s="717" t="s">
        <v>17</v>
      </c>
      <c r="E173" s="420"/>
      <c r="F173" s="420"/>
      <c r="G173" s="424"/>
      <c r="H173" s="716" t="s">
        <v>12</v>
      </c>
      <c r="I173" s="429"/>
      <c r="J173" s="429"/>
      <c r="K173" s="430"/>
      <c r="L173" s="715">
        <f ca="1">L174+L175</f>
        <v>19590</v>
      </c>
      <c r="M173" s="715">
        <f ca="1">M174+M175</f>
        <v>19590</v>
      </c>
      <c r="N173" s="715">
        <f ca="1">N174+N175</f>
        <v>0</v>
      </c>
      <c r="O173" s="715">
        <f t="shared" ref="O173:O181" ca="1" si="27">IF(L173&gt;0,N173*100/L173,0)</f>
        <v>0</v>
      </c>
      <c r="P173" s="715">
        <f t="shared" ref="P173:P181" ca="1" si="28">IF(M173&gt;0,N173*100/M173,0)</f>
        <v>0</v>
      </c>
    </row>
    <row r="174" spans="1:16" ht="18.75" hidden="1" x14ac:dyDescent="0.25">
      <c r="A174" s="684"/>
      <c r="B174" s="420"/>
      <c r="C174" s="420"/>
      <c r="D174" s="420"/>
      <c r="E174" s="520" t="s">
        <v>18</v>
      </c>
      <c r="F174" s="420"/>
      <c r="G174" s="424"/>
      <c r="H174" s="524" t="s">
        <v>12</v>
      </c>
      <c r="I174" s="429"/>
      <c r="J174" s="429"/>
      <c r="K174" s="430"/>
      <c r="L174" s="502">
        <f t="shared" ref="L174:N175" si="29">L177+L180</f>
        <v>0</v>
      </c>
      <c r="M174" s="502">
        <f t="shared" si="29"/>
        <v>0</v>
      </c>
      <c r="N174" s="502">
        <f t="shared" si="29"/>
        <v>0</v>
      </c>
      <c r="O174" s="502">
        <f t="shared" si="27"/>
        <v>0</v>
      </c>
      <c r="P174" s="502">
        <f t="shared" si="28"/>
        <v>0</v>
      </c>
    </row>
    <row r="175" spans="1:16" ht="18.75" x14ac:dyDescent="0.25">
      <c r="A175" s="684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t="shared" ca="1" si="29"/>
        <v>19590</v>
      </c>
      <c r="M175" s="427">
        <f t="shared" ca="1" si="29"/>
        <v>19590</v>
      </c>
      <c r="N175" s="427">
        <f t="shared" ca="1" si="29"/>
        <v>0</v>
      </c>
      <c r="O175" s="427">
        <f t="shared" ca="1" si="27"/>
        <v>0</v>
      </c>
      <c r="P175" s="427">
        <f t="shared" ca="1" si="28"/>
        <v>0</v>
      </c>
    </row>
    <row r="176" spans="1:16" ht="18.75" x14ac:dyDescent="0.25">
      <c r="A176" s="684"/>
      <c r="B176" s="421"/>
      <c r="C176" s="420"/>
      <c r="D176" s="713" t="s">
        <v>20</v>
      </c>
      <c r="E176" s="420"/>
      <c r="F176" s="420"/>
      <c r="G176" s="424"/>
      <c r="H176" s="714" t="s">
        <v>12</v>
      </c>
      <c r="I176" s="679"/>
      <c r="J176" s="679"/>
      <c r="K176" s="678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t="shared" ca="1" si="27"/>
        <v>0</v>
      </c>
      <c r="P176" s="427">
        <f t="shared" ca="1" si="28"/>
        <v>0</v>
      </c>
    </row>
    <row r="177" spans="1:16" ht="18.75" hidden="1" x14ac:dyDescent="0.25">
      <c r="A177" s="684"/>
      <c r="B177" s="420"/>
      <c r="C177" s="421"/>
      <c r="D177" s="421"/>
      <c r="E177" s="520" t="s">
        <v>34</v>
      </c>
      <c r="F177" s="420"/>
      <c r="G177" s="424"/>
      <c r="H177" s="522" t="s">
        <v>12</v>
      </c>
      <c r="I177" s="679"/>
      <c r="J177" s="679"/>
      <c r="K177" s="678"/>
      <c r="L177" s="502">
        <v>0</v>
      </c>
      <c r="M177" s="502">
        <v>0</v>
      </c>
      <c r="N177" s="502">
        <v>0</v>
      </c>
      <c r="O177" s="502">
        <f t="shared" si="27"/>
        <v>0</v>
      </c>
      <c r="P177" s="502">
        <f t="shared" si="28"/>
        <v>0</v>
      </c>
    </row>
    <row r="178" spans="1:16" ht="18.75" x14ac:dyDescent="0.25">
      <c r="A178" s="684"/>
      <c r="B178" s="421"/>
      <c r="C178" s="421"/>
      <c r="D178" s="421"/>
      <c r="E178" s="295" t="s">
        <v>35</v>
      </c>
      <c r="F178" s="420"/>
      <c r="G178" s="424"/>
      <c r="H178" s="714" t="s">
        <v>12</v>
      </c>
      <c r="I178" s="679"/>
      <c r="J178" s="679"/>
      <c r="K178" s="678"/>
      <c r="L178" s="427">
        <f ca="1">IFERROR(__xludf.DUMMYFUNCTION("IMPORTRANGE(""https://docs.google.com/spreadsheets/d/1-uDff_7J0KD5mKrp0Vvzr7lt3OU09vwQwhkpOPPYv2Y/edit?usp=sharing"",""งบพรบ!CK60"")"),19590)</f>
        <v>19590</v>
      </c>
      <c r="M178" s="427">
        <f ca="1">IFERROR(__xludf.DUMMYFUNCTION("IMPORTRANGE(""https://docs.google.com/spreadsheets/d/1-uDff_7J0KD5mKrp0Vvzr7lt3OU09vwQwhkpOPPYv2Y/edit?usp=sharing"",""งบพรบ!CP60"")"),19590)</f>
        <v>19590</v>
      </c>
      <c r="N178" s="427">
        <f ca="1">IFERROR(__xludf.DUMMYFUNCTION("IMPORTRANGE(""https://docs.google.com/spreadsheets/d/1-uDff_7J0KD5mKrp0Vvzr7lt3OU09vwQwhkpOPPYv2Y/edit?usp=sharing"",""งบพรบ!CR60"")"),0)</f>
        <v>0</v>
      </c>
      <c r="O178" s="427">
        <f t="shared" ca="1" si="27"/>
        <v>0</v>
      </c>
      <c r="P178" s="427">
        <f t="shared" ca="1" si="28"/>
        <v>0</v>
      </c>
    </row>
    <row r="179" spans="1:16" ht="18.75" x14ac:dyDescent="0.25">
      <c r="A179" s="684"/>
      <c r="B179" s="420"/>
      <c r="C179" s="421"/>
      <c r="D179" s="713" t="s">
        <v>21</v>
      </c>
      <c r="E179" s="420"/>
      <c r="F179" s="420"/>
      <c r="G179" s="424"/>
      <c r="H179" s="705" t="s">
        <v>12</v>
      </c>
      <c r="I179" s="679"/>
      <c r="J179" s="679"/>
      <c r="K179" s="678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t="shared" ca="1" si="27"/>
        <v>0</v>
      </c>
      <c r="P179" s="427">
        <f t="shared" ca="1" si="28"/>
        <v>0</v>
      </c>
    </row>
    <row r="180" spans="1:16" ht="18.75" hidden="1" x14ac:dyDescent="0.25">
      <c r="A180" s="684"/>
      <c r="B180" s="420"/>
      <c r="C180" s="420"/>
      <c r="D180" s="420"/>
      <c r="E180" s="520" t="s">
        <v>18</v>
      </c>
      <c r="F180" s="420"/>
      <c r="G180" s="424"/>
      <c r="H180" s="522" t="s">
        <v>12</v>
      </c>
      <c r="I180" s="679"/>
      <c r="J180" s="679"/>
      <c r="K180" s="678"/>
      <c r="L180" s="502">
        <v>0</v>
      </c>
      <c r="M180" s="502">
        <v>0</v>
      </c>
      <c r="N180" s="502">
        <v>0</v>
      </c>
      <c r="O180" s="502">
        <f t="shared" si="27"/>
        <v>0</v>
      </c>
      <c r="P180" s="502">
        <f t="shared" si="28"/>
        <v>0</v>
      </c>
    </row>
    <row r="181" spans="1:16" ht="18.75" x14ac:dyDescent="0.25">
      <c r="A181" s="684"/>
      <c r="B181" s="420"/>
      <c r="C181" s="420"/>
      <c r="D181" s="420"/>
      <c r="E181" s="295" t="s">
        <v>19</v>
      </c>
      <c r="F181" s="420"/>
      <c r="G181" s="424"/>
      <c r="H181" s="705" t="s">
        <v>12</v>
      </c>
      <c r="I181" s="679"/>
      <c r="J181" s="679"/>
      <c r="K181" s="678"/>
      <c r="L181" s="427">
        <f ca="1">IFERROR(__xludf.DUMMYFUNCTION("IMPORTRANGE(""https://docs.google.com/spreadsheets/d/1-uDff_7J0KD5mKrp0Vvzr7lt3OU09vwQwhkpOPPYv2Y/edit?usp=sharing"",""งบพรบ!CN60"")"),0)</f>
        <v>0</v>
      </c>
      <c r="M181" s="427">
        <f ca="1">IFERROR(__xludf.DUMMYFUNCTION("IMPORTRANGE(""https://docs.google.com/spreadsheets/d/1-uDff_7J0KD5mKrp0Vvzr7lt3OU09vwQwhkpOPPYv2Y/edit?usp=sharing"",""งบพรบ!CQ60"")"),0)</f>
        <v>0</v>
      </c>
      <c r="N181" s="427">
        <f ca="1">IFERROR(__xludf.DUMMYFUNCTION("IMPORTRANGE(""https://docs.google.com/spreadsheets/d/1-uDff_7J0KD5mKrp0Vvzr7lt3OU09vwQwhkpOPPYv2Y/edit?usp=sharing"",""งบพรบ!CS60"")"),0)</f>
        <v>0</v>
      </c>
      <c r="O181" s="427">
        <f t="shared" ca="1" si="27"/>
        <v>0</v>
      </c>
      <c r="P181" s="427">
        <f t="shared" ca="1" si="28"/>
        <v>0</v>
      </c>
    </row>
    <row r="182" spans="1:16" ht="19.5" x14ac:dyDescent="0.3">
      <c r="A182" s="683"/>
      <c r="B182" s="432"/>
      <c r="C182" s="718" t="s">
        <v>16</v>
      </c>
      <c r="D182" s="737" t="s">
        <v>36</v>
      </c>
      <c r="E182" s="682"/>
      <c r="F182" s="682"/>
      <c r="G182" s="681"/>
      <c r="H182" s="708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29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IFERROR(__xludf.DUMMYFUNCTION("IMPORTRANGE(""https://docs.google.com/spreadsheets/d/1eHaY18a8A9IcSdp1K8H6x8fbOy06t2VsZHhMHf-1x7Y/edit?usp=sharing"",""แผน!AA60"")"),7)</f>
        <v>7</v>
      </c>
      <c r="J183" s="736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03" t="s">
        <v>70</v>
      </c>
      <c r="E184" s="420"/>
      <c r="F184" s="420"/>
      <c r="G184" s="424"/>
      <c r="H184" s="831" t="s">
        <v>33</v>
      </c>
      <c r="I184" s="201">
        <v>0</v>
      </c>
      <c r="J184" s="201">
        <v>0</v>
      </c>
      <c r="K184" s="50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07"/>
      <c r="B185" s="728" t="s">
        <v>71</v>
      </c>
      <c r="C185" s="744"/>
      <c r="D185" s="682"/>
      <c r="E185" s="682"/>
      <c r="F185" s="682"/>
      <c r="G185" s="681"/>
      <c r="H185" s="830" t="s">
        <v>33</v>
      </c>
      <c r="I185" s="829">
        <f ca="1">I230+I231</f>
        <v>15</v>
      </c>
      <c r="J185" s="829">
        <f>J230+J231</f>
        <v>0</v>
      </c>
      <c r="K185" s="828">
        <f ca="1">IF(I185&gt;0,J185*100/I185,0)</f>
        <v>0</v>
      </c>
      <c r="L185" s="804"/>
      <c r="M185" s="804"/>
      <c r="N185" s="804"/>
      <c r="O185" s="804"/>
      <c r="P185" s="804"/>
    </row>
    <row r="186" spans="1:16" ht="19.5" x14ac:dyDescent="0.3">
      <c r="A186" s="684"/>
      <c r="B186" s="420"/>
      <c r="C186" s="718" t="s">
        <v>16</v>
      </c>
      <c r="D186" s="717" t="s">
        <v>17</v>
      </c>
      <c r="E186" s="420"/>
      <c r="F186" s="420"/>
      <c r="G186" s="424"/>
      <c r="H186" s="716" t="s">
        <v>12</v>
      </c>
      <c r="I186" s="429"/>
      <c r="J186" s="429"/>
      <c r="K186" s="430"/>
      <c r="L186" s="715">
        <f ca="1">L187+L188</f>
        <v>226700</v>
      </c>
      <c r="M186" s="715">
        <f ca="1">M187+M188</f>
        <v>172500</v>
      </c>
      <c r="N186" s="715">
        <f ca="1">N187+N188</f>
        <v>12340</v>
      </c>
      <c r="O186" s="715">
        <f t="shared" ref="O186:O194" ca="1" si="30">IF(L186&gt;0,N186*100/L186,0)</f>
        <v>5.4433171592412881</v>
      </c>
      <c r="P186" s="715">
        <f t="shared" ref="P186:P194" ca="1" si="31">IF(M186&gt;0,N186*100/M186,0)</f>
        <v>7.1536231884057973</v>
      </c>
    </row>
    <row r="187" spans="1:16" ht="18.75" hidden="1" x14ac:dyDescent="0.25">
      <c r="A187" s="684"/>
      <c r="B187" s="420"/>
      <c r="C187" s="420"/>
      <c r="D187" s="420"/>
      <c r="E187" s="520" t="s">
        <v>18</v>
      </c>
      <c r="F187" s="420"/>
      <c r="G187" s="424"/>
      <c r="H187" s="524" t="s">
        <v>12</v>
      </c>
      <c r="I187" s="429"/>
      <c r="J187" s="429"/>
      <c r="K187" s="430"/>
      <c r="L187" s="502">
        <f t="shared" ref="L187:N188" si="32">L190+L193</f>
        <v>0</v>
      </c>
      <c r="M187" s="502">
        <f t="shared" si="32"/>
        <v>0</v>
      </c>
      <c r="N187" s="502">
        <f t="shared" si="32"/>
        <v>0</v>
      </c>
      <c r="O187" s="502">
        <f t="shared" si="30"/>
        <v>0</v>
      </c>
      <c r="P187" s="502">
        <f t="shared" si="31"/>
        <v>0</v>
      </c>
    </row>
    <row r="188" spans="1:16" ht="18.75" x14ac:dyDescent="0.25">
      <c r="A188" s="684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t="shared" ca="1" si="32"/>
        <v>226700</v>
      </c>
      <c r="M188" s="427">
        <f t="shared" ca="1" si="32"/>
        <v>172500</v>
      </c>
      <c r="N188" s="427">
        <f t="shared" ca="1" si="32"/>
        <v>12340</v>
      </c>
      <c r="O188" s="427">
        <f t="shared" ca="1" si="30"/>
        <v>5.4433171592412881</v>
      </c>
      <c r="P188" s="427">
        <f t="shared" ca="1" si="31"/>
        <v>7.1536231884057973</v>
      </c>
    </row>
    <row r="189" spans="1:16" ht="18.75" x14ac:dyDescent="0.25">
      <c r="A189" s="684"/>
      <c r="B189" s="421"/>
      <c r="C189" s="420"/>
      <c r="D189" s="713" t="s">
        <v>20</v>
      </c>
      <c r="E189" s="420"/>
      <c r="F189" s="420"/>
      <c r="G189" s="424"/>
      <c r="H189" s="714" t="s">
        <v>12</v>
      </c>
      <c r="I189" s="679"/>
      <c r="J189" s="679"/>
      <c r="K189" s="678"/>
      <c r="L189" s="427">
        <f ca="1">L190+L191</f>
        <v>226700</v>
      </c>
      <c r="M189" s="427">
        <f ca="1">M190+M191</f>
        <v>172500</v>
      </c>
      <c r="N189" s="427">
        <f ca="1">N190+N191</f>
        <v>12340</v>
      </c>
      <c r="O189" s="427">
        <f t="shared" ca="1" si="30"/>
        <v>5.4433171592412881</v>
      </c>
      <c r="P189" s="427">
        <f t="shared" ca="1" si="31"/>
        <v>7.1536231884057973</v>
      </c>
    </row>
    <row r="190" spans="1:16" ht="18.75" hidden="1" x14ac:dyDescent="0.25">
      <c r="A190" s="684"/>
      <c r="B190" s="420"/>
      <c r="C190" s="420"/>
      <c r="D190" s="420"/>
      <c r="E190" s="520" t="s">
        <v>34</v>
      </c>
      <c r="F190" s="420"/>
      <c r="G190" s="424"/>
      <c r="H190" s="522" t="s">
        <v>12</v>
      </c>
      <c r="I190" s="679"/>
      <c r="J190" s="679"/>
      <c r="K190" s="678"/>
      <c r="L190" s="502">
        <v>0</v>
      </c>
      <c r="M190" s="502">
        <v>0</v>
      </c>
      <c r="N190" s="502">
        <v>0</v>
      </c>
      <c r="O190" s="502">
        <f t="shared" si="30"/>
        <v>0</v>
      </c>
      <c r="P190" s="502">
        <f t="shared" si="31"/>
        <v>0</v>
      </c>
    </row>
    <row r="191" spans="1:16" ht="18.75" x14ac:dyDescent="0.25">
      <c r="A191" s="684"/>
      <c r="B191" s="421"/>
      <c r="C191" s="420"/>
      <c r="D191" s="420"/>
      <c r="E191" s="295" t="s">
        <v>35</v>
      </c>
      <c r="F191" s="420"/>
      <c r="G191" s="424"/>
      <c r="H191" s="714" t="s">
        <v>12</v>
      </c>
      <c r="I191" s="679"/>
      <c r="J191" s="679"/>
      <c r="K191" s="678"/>
      <c r="L191" s="427">
        <f ca="1">IFERROR(__xludf.DUMMYFUNCTION("IMPORTRANGE(""https://docs.google.com/spreadsheets/d/1-uDff_7J0KD5mKrp0Vvzr7lt3OU09vwQwhkpOPPYv2Y/edit?usp=sharing"",""งบพรบ!CU60"")"),226700)</f>
        <v>226700</v>
      </c>
      <c r="M191" s="427">
        <f ca="1">IFERROR(__xludf.DUMMYFUNCTION("IMPORTRANGE(""https://docs.google.com/spreadsheets/d/1-uDff_7J0KD5mKrp0Vvzr7lt3OU09vwQwhkpOPPYv2Y/edit?usp=sharing"",""งบพรบ!CZ60"")"),172500)</f>
        <v>172500</v>
      </c>
      <c r="N191" s="427">
        <f ca="1">IFERROR(__xludf.DUMMYFUNCTION("IMPORTRANGE(""https://docs.google.com/spreadsheets/d/1-uDff_7J0KD5mKrp0Vvzr7lt3OU09vwQwhkpOPPYv2Y/edit?usp=sharing"",""งบพรบ!DB60"")"),12340)</f>
        <v>12340</v>
      </c>
      <c r="O191" s="427">
        <f t="shared" ca="1" si="30"/>
        <v>5.4433171592412881</v>
      </c>
      <c r="P191" s="427">
        <f t="shared" ca="1" si="31"/>
        <v>7.1536231884057973</v>
      </c>
    </row>
    <row r="192" spans="1:16" ht="18.75" x14ac:dyDescent="0.25">
      <c r="A192" s="684"/>
      <c r="B192" s="421"/>
      <c r="C192" s="421"/>
      <c r="D192" s="713" t="s">
        <v>21</v>
      </c>
      <c r="E192" s="420"/>
      <c r="F192" s="420"/>
      <c r="G192" s="424"/>
      <c r="H192" s="705" t="s">
        <v>12</v>
      </c>
      <c r="I192" s="679"/>
      <c r="J192" s="679"/>
      <c r="K192" s="678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t="shared" ca="1" si="30"/>
        <v>0</v>
      </c>
      <c r="P192" s="427">
        <f t="shared" ca="1" si="31"/>
        <v>0</v>
      </c>
    </row>
    <row r="193" spans="1:16" ht="18.75" hidden="1" x14ac:dyDescent="0.25">
      <c r="A193" s="684"/>
      <c r="B193" s="421"/>
      <c r="C193" s="421"/>
      <c r="D193" s="420"/>
      <c r="E193" s="520" t="s">
        <v>18</v>
      </c>
      <c r="F193" s="420"/>
      <c r="G193" s="424"/>
      <c r="H193" s="522" t="s">
        <v>12</v>
      </c>
      <c r="I193" s="679"/>
      <c r="J193" s="679"/>
      <c r="K193" s="678"/>
      <c r="L193" s="502">
        <v>0</v>
      </c>
      <c r="M193" s="502">
        <v>0</v>
      </c>
      <c r="N193" s="502">
        <v>0</v>
      </c>
      <c r="O193" s="502">
        <f t="shared" si="30"/>
        <v>0</v>
      </c>
      <c r="P193" s="502">
        <f t="shared" si="31"/>
        <v>0</v>
      </c>
    </row>
    <row r="194" spans="1:16" ht="18.75" x14ac:dyDescent="0.25">
      <c r="A194" s="684"/>
      <c r="B194" s="421"/>
      <c r="C194" s="421"/>
      <c r="D194" s="421"/>
      <c r="E194" s="295" t="s">
        <v>19</v>
      </c>
      <c r="F194" s="420"/>
      <c r="G194" s="424"/>
      <c r="H194" s="705" t="s">
        <v>12</v>
      </c>
      <c r="I194" s="679"/>
      <c r="J194" s="679"/>
      <c r="K194" s="678"/>
      <c r="L194" s="427">
        <f ca="1">IFERROR(__xludf.DUMMYFUNCTION("IMPORTRANGE(""https://docs.google.com/spreadsheets/d/1-uDff_7J0KD5mKrp0Vvzr7lt3OU09vwQwhkpOPPYv2Y/edit?usp=sharing"",""งบพรบ!CX60"")"),0)</f>
        <v>0</v>
      </c>
      <c r="M194" s="427">
        <f ca="1">IFERROR(__xludf.DUMMYFUNCTION("IMPORTRANGE(""https://docs.google.com/spreadsheets/d/1-uDff_7J0KD5mKrp0Vvzr7lt3OU09vwQwhkpOPPYv2Y/edit?usp=sharing"",""งบพรบ!DA60"")"),0)</f>
        <v>0</v>
      </c>
      <c r="N194" s="427">
        <f ca="1">IFERROR(__xludf.DUMMYFUNCTION("IMPORTRANGE(""https://docs.google.com/spreadsheets/d/1-uDff_7J0KD5mKrp0Vvzr7lt3OU09vwQwhkpOPPYv2Y/edit?usp=sharing"",""งบพรบ!DC60"")"),0)</f>
        <v>0</v>
      </c>
      <c r="O194" s="427">
        <f t="shared" ca="1" si="30"/>
        <v>0</v>
      </c>
      <c r="P194" s="427">
        <f t="shared" ca="1" si="31"/>
        <v>0</v>
      </c>
    </row>
    <row r="195" spans="1:16" ht="19.5" x14ac:dyDescent="0.3">
      <c r="A195" s="434"/>
      <c r="B195" s="436"/>
      <c r="C195" s="821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55"/>
      <c r="M195" s="555"/>
      <c r="N195" s="555"/>
      <c r="O195" s="555"/>
      <c r="P195" s="555"/>
    </row>
    <row r="196" spans="1:16" ht="19.5" x14ac:dyDescent="0.3">
      <c r="A196" s="684"/>
      <c r="B196" s="421"/>
      <c r="C196" s="718" t="s">
        <v>16</v>
      </c>
      <c r="D196" s="824" t="s">
        <v>17</v>
      </c>
      <c r="E196" s="420"/>
      <c r="F196" s="420"/>
      <c r="G196" s="424"/>
      <c r="H196" s="819" t="s">
        <v>12</v>
      </c>
      <c r="I196" s="429"/>
      <c r="J196" s="429"/>
      <c r="K196" s="430"/>
      <c r="L196" s="715">
        <f ca="1">IFERROR(__xludf.DUMMYFUNCTION("IMPORTRANGE(""https://docs.google.com/spreadsheets/d/1eHaY18a8A9IcSdp1K8H6x8fbOy06t2VsZHhMHf-1x7Y/edit?usp=sharing"",""แผน!AB60"")"),6000)</f>
        <v>6000</v>
      </c>
      <c r="M196" s="430"/>
      <c r="N196" s="827">
        <v>0</v>
      </c>
      <c r="O196" s="715">
        <f ca="1">IF(L196&gt;0,N196*100/L196,0)</f>
        <v>0</v>
      </c>
      <c r="P196" s="715">
        <f>IF(M196&gt;0,N196*100/M196,0)</f>
        <v>0</v>
      </c>
    </row>
    <row r="197" spans="1:16" ht="19.5" x14ac:dyDescent="0.3">
      <c r="A197" s="683"/>
      <c r="B197" s="432"/>
      <c r="C197" s="718" t="s">
        <v>16</v>
      </c>
      <c r="D197" s="737" t="s">
        <v>36</v>
      </c>
      <c r="E197" s="682"/>
      <c r="F197" s="682"/>
      <c r="G197" s="681"/>
      <c r="H197" s="708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683"/>
      <c r="B198" s="432"/>
      <c r="C198" s="432"/>
      <c r="D198" s="423" t="s">
        <v>74</v>
      </c>
      <c r="E198" s="422"/>
      <c r="F198" s="422"/>
      <c r="G198" s="680"/>
      <c r="H198" s="705" t="s">
        <v>73</v>
      </c>
      <c r="I198" s="426">
        <f ca="1">IFERROR(__xludf.DUMMYFUNCTION("IMPORTRANGE(""https://docs.google.com/spreadsheets/d/1eHaY18a8A9IcSdp1K8H6x8fbOy06t2VsZHhMHf-1x7Y/edit?usp=sharing"",""แผน!AE60"")"),4)</f>
        <v>4</v>
      </c>
      <c r="J198" s="736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683"/>
      <c r="B199" s="432"/>
      <c r="C199" s="432"/>
      <c r="D199" s="423" t="s">
        <v>75</v>
      </c>
      <c r="E199" s="422"/>
      <c r="F199" s="422"/>
      <c r="G199" s="680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683"/>
      <c r="B200" s="432"/>
      <c r="C200" s="432"/>
      <c r="D200" s="432"/>
      <c r="E200" s="423" t="s">
        <v>76</v>
      </c>
      <c r="F200" s="422"/>
      <c r="G200" s="680"/>
      <c r="H200" s="425" t="s">
        <v>33</v>
      </c>
      <c r="I200" s="429"/>
      <c r="J200" s="736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683"/>
      <c r="B201" s="432"/>
      <c r="C201" s="432"/>
      <c r="D201" s="432"/>
      <c r="E201" s="423" t="s">
        <v>77</v>
      </c>
      <c r="F201" s="422"/>
      <c r="G201" s="680"/>
      <c r="H201" s="425" t="s">
        <v>33</v>
      </c>
      <c r="I201" s="429"/>
      <c r="J201" s="736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26" t="s">
        <v>78</v>
      </c>
      <c r="D202" s="435"/>
      <c r="E202" s="435"/>
      <c r="F202" s="435"/>
      <c r="G202" s="438"/>
      <c r="H202" s="712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55"/>
      <c r="M202" s="555"/>
      <c r="N202" s="555"/>
      <c r="O202" s="555"/>
      <c r="P202" s="555"/>
    </row>
    <row r="203" spans="1:16" ht="19.5" hidden="1" x14ac:dyDescent="0.3">
      <c r="A203" s="684"/>
      <c r="B203" s="421"/>
      <c r="C203" s="711" t="s">
        <v>16</v>
      </c>
      <c r="D203" s="824" t="s">
        <v>17</v>
      </c>
      <c r="E203" s="420"/>
      <c r="F203" s="420"/>
      <c r="G203" s="424"/>
      <c r="H203" s="819" t="s">
        <v>12</v>
      </c>
      <c r="I203" s="679"/>
      <c r="J203" s="679"/>
      <c r="K203" s="678"/>
      <c r="L203" s="715">
        <f ca="1">L204+L205+L206+L207</f>
        <v>0</v>
      </c>
      <c r="M203" s="430"/>
      <c r="N203" s="715">
        <f>N204+N205+N206+N207</f>
        <v>0</v>
      </c>
      <c r="O203" s="715">
        <f ca="1">IF(L203&gt;0,N203*100/L203,0)</f>
        <v>0</v>
      </c>
      <c r="P203" s="715">
        <f>IF(M203&gt;0,N203*100/M203,0)</f>
        <v>0</v>
      </c>
    </row>
    <row r="204" spans="1:16" ht="18.75" hidden="1" x14ac:dyDescent="0.25">
      <c r="A204" s="684"/>
      <c r="B204" s="421"/>
      <c r="C204" s="421"/>
      <c r="D204" s="295" t="s">
        <v>80</v>
      </c>
      <c r="E204" s="420"/>
      <c r="F204" s="420"/>
      <c r="G204" s="424"/>
      <c r="H204" s="714" t="s">
        <v>12</v>
      </c>
      <c r="I204" s="679"/>
      <c r="J204" s="679"/>
      <c r="K204" s="678"/>
      <c r="L204" s="427">
        <f ca="1">IFERROR(__xludf.DUMMYFUNCTION("IMPORTRANGE(""https://docs.google.com/spreadsheets/d/1eHaY18a8A9IcSdp1K8H6x8fbOy06t2VsZHhMHf-1x7Y/edit?usp=sharing"",""แผน!AG60"")"),0)</f>
        <v>0</v>
      </c>
      <c r="M204" s="430"/>
      <c r="N204" s="818">
        <v>0</v>
      </c>
      <c r="O204" s="678"/>
      <c r="P204" s="430"/>
    </row>
    <row r="205" spans="1:16" ht="18.75" hidden="1" x14ac:dyDescent="0.25">
      <c r="A205" s="419"/>
      <c r="B205" s="421"/>
      <c r="C205" s="421"/>
      <c r="D205" s="295" t="s">
        <v>82</v>
      </c>
      <c r="E205" s="420"/>
      <c r="F205" s="420"/>
      <c r="G205" s="424"/>
      <c r="H205" s="825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IFERROR(__xludf.DUMMYFUNCTION("IMPORTRANGE(""https://docs.google.com/spreadsheets/d/1eHaY18a8A9IcSdp1K8H6x8fbOy06t2VsZHhMHf-1x7Y/edit?usp=sharing"",""แผน!AI60"")"),0)</f>
        <v>0</v>
      </c>
      <c r="M205" s="430"/>
      <c r="N205" s="818">
        <v>0</v>
      </c>
      <c r="O205" s="678"/>
      <c r="P205" s="430"/>
    </row>
    <row r="206" spans="1:16" ht="18.75" hidden="1" x14ac:dyDescent="0.25">
      <c r="A206" s="419"/>
      <c r="B206" s="421"/>
      <c r="C206" s="421"/>
      <c r="D206" s="295" t="s">
        <v>89</v>
      </c>
      <c r="E206" s="420"/>
      <c r="F206" s="420"/>
      <c r="G206" s="424"/>
      <c r="H206" s="825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IFERROR(__xludf.DUMMYFUNCTION("IMPORTRANGE(""https://docs.google.com/spreadsheets/d/1eHaY18a8A9IcSdp1K8H6x8fbOy06t2VsZHhMHf-1x7Y/edit?usp=sharing"",""แผน!AJ60"")"),0)</f>
        <v>0</v>
      </c>
      <c r="M206" s="430"/>
      <c r="N206" s="818">
        <v>0</v>
      </c>
      <c r="O206" s="678"/>
      <c r="P206" s="430"/>
    </row>
    <row r="207" spans="1:16" ht="12.75" hidden="1" x14ac:dyDescent="0.2">
      <c r="A207" s="766"/>
      <c r="B207" s="765"/>
      <c r="C207" s="764"/>
      <c r="D207" s="764"/>
      <c r="E207" s="764"/>
      <c r="F207" s="764"/>
      <c r="G207" s="763"/>
      <c r="H207" s="763"/>
      <c r="I207" s="761"/>
      <c r="J207" s="761"/>
      <c r="K207" s="760"/>
      <c r="L207" s="760"/>
      <c r="M207" s="760"/>
      <c r="N207" s="760"/>
      <c r="O207" s="760"/>
      <c r="P207" s="760"/>
    </row>
    <row r="208" spans="1:16" ht="19.5" hidden="1" x14ac:dyDescent="0.3">
      <c r="A208" s="683"/>
      <c r="B208" s="432"/>
      <c r="C208" s="718" t="s">
        <v>16</v>
      </c>
      <c r="D208" s="737" t="s">
        <v>36</v>
      </c>
      <c r="E208" s="682"/>
      <c r="F208" s="682"/>
      <c r="G208" s="681"/>
      <c r="H208" s="708"/>
      <c r="I208" s="679"/>
      <c r="J208" s="679"/>
      <c r="K208" s="678"/>
      <c r="L208" s="678"/>
      <c r="M208" s="678"/>
      <c r="N208" s="678"/>
      <c r="O208" s="678"/>
      <c r="P208" s="678"/>
    </row>
    <row r="209" spans="1:16" ht="18.75" hidden="1" x14ac:dyDescent="0.25">
      <c r="A209" s="683"/>
      <c r="B209" s="432"/>
      <c r="C209" s="432"/>
      <c r="D209" s="706" t="s">
        <v>84</v>
      </c>
      <c r="E209" s="422"/>
      <c r="F209" s="422"/>
      <c r="G209" s="680"/>
      <c r="H209" s="823" t="s">
        <v>79</v>
      </c>
      <c r="I209" s="426">
        <f ca="1">IFERROR(__xludf.DUMMYFUNCTION("IMPORTRANGE(""https://docs.google.com/spreadsheets/d/1eHaY18a8A9IcSdp1K8H6x8fbOy06t2VsZHhMHf-1x7Y/edit?usp=sharing"",""แผน!AK60"")"),0)</f>
        <v>0</v>
      </c>
      <c r="J209" s="736">
        <v>0</v>
      </c>
      <c r="K209" s="767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683"/>
      <c r="B210" s="432"/>
      <c r="C210" s="432"/>
      <c r="D210" s="423" t="s">
        <v>48</v>
      </c>
      <c r="E210" s="422"/>
      <c r="F210" s="422"/>
      <c r="G210" s="680"/>
      <c r="H210" s="708"/>
      <c r="I210" s="429"/>
      <c r="J210" s="429"/>
      <c r="K210" s="678"/>
      <c r="L210" s="430"/>
      <c r="M210" s="430"/>
      <c r="N210" s="430"/>
      <c r="O210" s="430"/>
      <c r="P210" s="430"/>
    </row>
    <row r="211" spans="1:16" ht="18.75" hidden="1" x14ac:dyDescent="0.25">
      <c r="A211" s="683"/>
      <c r="B211" s="432"/>
      <c r="C211" s="432"/>
      <c r="D211" s="422"/>
      <c r="E211" s="423" t="s">
        <v>85</v>
      </c>
      <c r="F211" s="422"/>
      <c r="G211" s="680"/>
      <c r="H211" s="823" t="s">
        <v>79</v>
      </c>
      <c r="I211" s="426">
        <f ca="1">IFERROR(__xludf.DUMMYFUNCTION("IMPORTRANGE(""https://docs.google.com/spreadsheets/d/1eHaY18a8A9IcSdp1K8H6x8fbOy06t2VsZHhMHf-1x7Y/edit?usp=sharing"",""แผน!AK60"")"),0)</f>
        <v>0</v>
      </c>
      <c r="J211" s="736">
        <v>0</v>
      </c>
      <c r="K211" s="767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683"/>
      <c r="B212" s="432"/>
      <c r="C212" s="432"/>
      <c r="D212" s="422"/>
      <c r="E212" s="423" t="s">
        <v>86</v>
      </c>
      <c r="F212" s="422"/>
      <c r="G212" s="422"/>
      <c r="H212" s="769" t="s">
        <v>87</v>
      </c>
      <c r="I212" s="426">
        <f ca="1">IFERROR(__xludf.DUMMYFUNCTION("IMPORTRANGE(""https://docs.google.com/spreadsheets/d/1eHaY18a8A9IcSdp1K8H6x8fbOy06t2VsZHhMHf-1x7Y/edit?usp=sharing"",""แผน!AK60"")"),0)</f>
        <v>0</v>
      </c>
      <c r="J212" s="736">
        <v>0</v>
      </c>
      <c r="K212" s="767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21" t="s">
        <v>88</v>
      </c>
      <c r="D213" s="435"/>
      <c r="E213" s="435"/>
      <c r="F213" s="435"/>
      <c r="G213" s="438"/>
      <c r="H213" s="712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55"/>
      <c r="M213" s="555"/>
      <c r="N213" s="555"/>
      <c r="O213" s="555"/>
      <c r="P213" s="555"/>
    </row>
    <row r="214" spans="1:16" ht="19.5" hidden="1" x14ac:dyDescent="0.3">
      <c r="A214" s="684"/>
      <c r="B214" s="421"/>
      <c r="C214" s="711" t="s">
        <v>16</v>
      </c>
      <c r="D214" s="824" t="s">
        <v>17</v>
      </c>
      <c r="E214" s="420"/>
      <c r="F214" s="420"/>
      <c r="G214" s="424"/>
      <c r="H214" s="819" t="s">
        <v>12</v>
      </c>
      <c r="I214" s="679"/>
      <c r="J214" s="679"/>
      <c r="K214" s="678"/>
      <c r="L214" s="715">
        <f ca="1">L215+L216+L217</f>
        <v>0</v>
      </c>
      <c r="M214" s="430"/>
      <c r="N214" s="715">
        <f>N215+N216+N217</f>
        <v>0</v>
      </c>
      <c r="O214" s="715">
        <f ca="1">IF(L214&gt;0,N214*100/L214,0)</f>
        <v>0</v>
      </c>
      <c r="P214" s="715">
        <f>IF(M214&gt;0,N214*100/M214,0)</f>
        <v>0</v>
      </c>
    </row>
    <row r="215" spans="1:16" ht="18.75" hidden="1" x14ac:dyDescent="0.25">
      <c r="A215" s="684"/>
      <c r="B215" s="421"/>
      <c r="C215" s="420"/>
      <c r="D215" s="295" t="s">
        <v>80</v>
      </c>
      <c r="E215" s="420"/>
      <c r="F215" s="420"/>
      <c r="G215" s="424"/>
      <c r="H215" s="714" t="s">
        <v>12</v>
      </c>
      <c r="I215" s="679"/>
      <c r="J215" s="679"/>
      <c r="K215" s="678"/>
      <c r="L215" s="427">
        <f ca="1">IFERROR(__xludf.DUMMYFUNCTION("IMPORTRANGE(""https://docs.google.com/spreadsheets/d/1eHaY18a8A9IcSdp1K8H6x8fbOy06t2VsZHhMHf-1x7Y/edit?usp=sharing"",""แผน!AM60"")"),0)</f>
        <v>0</v>
      </c>
      <c r="M215" s="430"/>
      <c r="N215" s="818">
        <v>0</v>
      </c>
      <c r="O215" s="678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14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IFERROR(__xludf.DUMMYFUNCTION("IMPORTRANGE(""https://docs.google.com/spreadsheets/d/1eHaY18a8A9IcSdp1K8H6x8fbOy06t2VsZHhMHf-1x7Y/edit?usp=sharing"",""แผน!AN60"")"),0)</f>
        <v>0</v>
      </c>
      <c r="M216" s="430"/>
      <c r="N216" s="818">
        <v>0</v>
      </c>
      <c r="O216" s="678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14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IFERROR(__xludf.DUMMYFUNCTION("IMPORTRANGE(""https://docs.google.com/spreadsheets/d/1eHaY18a8A9IcSdp1K8H6x8fbOy06t2VsZHhMHf-1x7Y/edit?usp=sharing"",""แผน!AO60"")"),0)</f>
        <v>0</v>
      </c>
      <c r="M217" s="430"/>
      <c r="N217" s="818">
        <v>0</v>
      </c>
      <c r="O217" s="678"/>
      <c r="P217" s="430"/>
    </row>
    <row r="218" spans="1:16" ht="19.5" hidden="1" x14ac:dyDescent="0.3">
      <c r="A218" s="683"/>
      <c r="B218" s="432"/>
      <c r="C218" s="711" t="s">
        <v>16</v>
      </c>
      <c r="D218" s="737" t="s">
        <v>36</v>
      </c>
      <c r="E218" s="682"/>
      <c r="F218" s="682"/>
      <c r="G218" s="681"/>
      <c r="H218" s="708"/>
      <c r="I218" s="679"/>
      <c r="J218" s="429"/>
      <c r="K218" s="430"/>
      <c r="L218" s="430"/>
      <c r="M218" s="430"/>
      <c r="N218" s="430"/>
      <c r="O218" s="678"/>
      <c r="P218" s="678"/>
    </row>
    <row r="219" spans="1:16" ht="18.75" hidden="1" x14ac:dyDescent="0.25">
      <c r="A219" s="683"/>
      <c r="B219" s="432"/>
      <c r="C219" s="432"/>
      <c r="D219" s="706" t="s">
        <v>90</v>
      </c>
      <c r="E219" s="422"/>
      <c r="F219" s="422"/>
      <c r="G219" s="680"/>
      <c r="H219" s="823" t="s">
        <v>79</v>
      </c>
      <c r="I219" s="426">
        <f ca="1">IFERROR(__xludf.DUMMYFUNCTION("IMPORTRANGE(""https://docs.google.com/spreadsheets/d/1eHaY18a8A9IcSdp1K8H6x8fbOy06t2VsZHhMHf-1x7Y/edit?usp=sharing"",""แผน!AP60"")"),0)</f>
        <v>0</v>
      </c>
      <c r="J219" s="736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683"/>
      <c r="B220" s="432"/>
      <c r="C220" s="432"/>
      <c r="D220" s="706" t="s">
        <v>91</v>
      </c>
      <c r="E220" s="422"/>
      <c r="F220" s="422"/>
      <c r="G220" s="680"/>
      <c r="H220" s="822" t="s">
        <v>79</v>
      </c>
      <c r="I220" s="426">
        <f ca="1">IFERROR(__xludf.DUMMYFUNCTION("IMPORTRANGE(""https://docs.google.com/spreadsheets/d/1eHaY18a8A9IcSdp1K8H6x8fbOy06t2VsZHhMHf-1x7Y/edit?usp=sharing"",""แผน!AP60"")"),0)</f>
        <v>0</v>
      </c>
      <c r="J220" s="736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21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55"/>
      <c r="M221" s="555"/>
      <c r="N221" s="555"/>
      <c r="O221" s="555"/>
      <c r="P221" s="555"/>
    </row>
    <row r="222" spans="1:16" ht="19.5" x14ac:dyDescent="0.3">
      <c r="A222" s="684"/>
      <c r="B222" s="421"/>
      <c r="C222" s="711" t="s">
        <v>16</v>
      </c>
      <c r="D222" s="820" t="s">
        <v>17</v>
      </c>
      <c r="E222" s="420"/>
      <c r="F222" s="420"/>
      <c r="G222" s="424"/>
      <c r="H222" s="819" t="s">
        <v>12</v>
      </c>
      <c r="I222" s="679"/>
      <c r="J222" s="679"/>
      <c r="K222" s="678"/>
      <c r="L222" s="715">
        <f ca="1">L223+L224+L225</f>
        <v>4500</v>
      </c>
      <c r="M222" s="430"/>
      <c r="N222" s="715">
        <f>N223+N224+N225</f>
        <v>0</v>
      </c>
      <c r="O222" s="715">
        <f ca="1">IF(L222&gt;0,N222*100/L222,0)</f>
        <v>0</v>
      </c>
      <c r="P222" s="715">
        <f>IF(M222&gt;0,N222*100/M222,0)</f>
        <v>0</v>
      </c>
    </row>
    <row r="223" spans="1:16" ht="18.75" x14ac:dyDescent="0.25">
      <c r="A223" s="684"/>
      <c r="B223" s="421"/>
      <c r="C223" s="421"/>
      <c r="D223" s="814" t="s">
        <v>155</v>
      </c>
      <c r="E223" s="420"/>
      <c r="F223" s="420"/>
      <c r="G223" s="424"/>
      <c r="H223" s="714" t="s">
        <v>12</v>
      </c>
      <c r="I223" s="679"/>
      <c r="J223" s="679"/>
      <c r="K223" s="678"/>
      <c r="L223" s="427">
        <f ca="1">IFERROR(__xludf.DUMMYFUNCTION("IMPORTRANGE(""https://docs.google.com/spreadsheets/d/1eHaY18a8A9IcSdp1K8H6x8fbOy06t2VsZHhMHf-1x7Y/edit?usp=sharing"",""แผน!AR60"")"),3000)</f>
        <v>3000</v>
      </c>
      <c r="M223" s="430"/>
      <c r="N223" s="818">
        <v>0</v>
      </c>
      <c r="O223" s="678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14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IFERROR(__xludf.DUMMYFUNCTION("IMPORTRANGE(""https://docs.google.com/spreadsheets/d/1eHaY18a8A9IcSdp1K8H6x8fbOy06t2VsZHhMHf-1x7Y/edit?usp=sharing"",""แผน!AS60"")"),1500)</f>
        <v>1500</v>
      </c>
      <c r="M224" s="430"/>
      <c r="N224" s="818">
        <v>0</v>
      </c>
      <c r="O224" s="678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14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IFERROR(__xludf.DUMMYFUNCTION("IMPORTRANGE(""https://docs.google.com/spreadsheets/d/1eHaY18a8A9IcSdp1K8H6x8fbOy06t2VsZHhMHf-1x7Y/edit?usp=sharing"",""แผน!AT60"")"),0)</f>
        <v>0</v>
      </c>
      <c r="M225" s="430"/>
      <c r="N225" s="818">
        <v>0</v>
      </c>
      <c r="O225" s="678"/>
      <c r="P225" s="430"/>
    </row>
    <row r="226" spans="1:16" ht="19.5" x14ac:dyDescent="0.3">
      <c r="A226" s="683"/>
      <c r="B226" s="432"/>
      <c r="C226" s="711" t="s">
        <v>16</v>
      </c>
      <c r="D226" s="737" t="s">
        <v>36</v>
      </c>
      <c r="E226" s="682"/>
      <c r="F226" s="682"/>
      <c r="G226" s="681"/>
      <c r="H226" s="708"/>
      <c r="I226" s="679"/>
      <c r="J226" s="679"/>
      <c r="K226" s="678"/>
      <c r="L226" s="678"/>
      <c r="M226" s="678"/>
      <c r="N226" s="678"/>
      <c r="O226" s="678"/>
      <c r="P226" s="678"/>
    </row>
    <row r="227" spans="1:16" ht="18.75" x14ac:dyDescent="0.25">
      <c r="A227" s="683"/>
      <c r="B227" s="432"/>
      <c r="C227" s="432"/>
      <c r="D227" s="295" t="s">
        <v>95</v>
      </c>
      <c r="E227" s="422"/>
      <c r="F227" s="422"/>
      <c r="G227" s="680"/>
      <c r="H227" s="708"/>
      <c r="I227" s="429"/>
      <c r="J227" s="429"/>
      <c r="K227" s="678"/>
      <c r="L227" s="678"/>
      <c r="M227" s="678"/>
      <c r="N227" s="678"/>
      <c r="O227" s="678"/>
      <c r="P227" s="678"/>
    </row>
    <row r="228" spans="1:16" ht="18.75" x14ac:dyDescent="0.25">
      <c r="A228" s="683"/>
      <c r="B228" s="432"/>
      <c r="C228" s="432"/>
      <c r="D228" s="432"/>
      <c r="E228" s="706" t="s">
        <v>96</v>
      </c>
      <c r="F228" s="422"/>
      <c r="G228" s="680"/>
      <c r="H228" s="705" t="s">
        <v>93</v>
      </c>
      <c r="I228" s="426">
        <f ca="1">IFERROR(__xludf.DUMMYFUNCTION("IMPORTRANGE(""https://docs.google.com/spreadsheets/d/1eHaY18a8A9IcSdp1K8H6x8fbOy06t2VsZHhMHf-1x7Y/edit?usp=sharing"",""แผน!AV60"")"),5000)</f>
        <v>5000</v>
      </c>
      <c r="J228" s="736">
        <v>0</v>
      </c>
      <c r="K228" s="767">
        <f ca="1">IF(I228&gt;0,J228*100/I228,0)</f>
        <v>0</v>
      </c>
      <c r="L228" s="678"/>
      <c r="M228" s="678"/>
      <c r="N228" s="678"/>
      <c r="O228" s="678"/>
      <c r="P228" s="678"/>
    </row>
    <row r="229" spans="1:16" ht="18.75" x14ac:dyDescent="0.25">
      <c r="A229" s="683"/>
      <c r="B229" s="432"/>
      <c r="C229" s="432"/>
      <c r="D229" s="432"/>
      <c r="E229" s="706" t="s">
        <v>97</v>
      </c>
      <c r="F229" s="422"/>
      <c r="G229" s="680"/>
      <c r="H229" s="705" t="s">
        <v>93</v>
      </c>
      <c r="I229" s="426">
        <f ca="1">IFERROR(__xludf.DUMMYFUNCTION("IMPORTRANGE(""https://docs.google.com/spreadsheets/d/1eHaY18a8A9IcSdp1K8H6x8fbOy06t2VsZHhMHf-1x7Y/edit?usp=sharing"",""แผน!AV60"")"),5000)</f>
        <v>5000</v>
      </c>
      <c r="J229" s="736">
        <v>0</v>
      </c>
      <c r="K229" s="767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683"/>
      <c r="B230" s="432"/>
      <c r="C230" s="432"/>
      <c r="D230" s="295" t="s">
        <v>98</v>
      </c>
      <c r="E230" s="422"/>
      <c r="F230" s="422"/>
      <c r="G230" s="680"/>
      <c r="H230" s="705" t="s">
        <v>33</v>
      </c>
      <c r="I230" s="426">
        <f ca="1">IFERROR(__xludf.DUMMYFUNCTION("IMPORTRANGE(""https://docs.google.com/spreadsheets/d/1eHaY18a8A9IcSdp1K8H6x8fbOy06t2VsZHhMHf-1x7Y/edit?usp=sharing"",""แผน!AU60"")"),0)</f>
        <v>0</v>
      </c>
      <c r="J230" s="736">
        <v>0</v>
      </c>
      <c r="K230" s="767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599"/>
      <c r="B231" s="598"/>
      <c r="C231" s="815" t="s">
        <v>99</v>
      </c>
      <c r="D231" s="596"/>
      <c r="E231" s="596"/>
      <c r="F231" s="596"/>
      <c r="G231" s="595"/>
      <c r="H231" s="594" t="s">
        <v>33</v>
      </c>
      <c r="I231" s="593">
        <f ca="1">I242+I253</f>
        <v>15</v>
      </c>
      <c r="J231" s="593">
        <f>J242+J253</f>
        <v>0</v>
      </c>
      <c r="K231" s="592">
        <f ca="1">IF(I231&gt;0,J231*100/I231,0)</f>
        <v>0</v>
      </c>
      <c r="L231" s="591"/>
      <c r="M231" s="591"/>
      <c r="N231" s="591"/>
      <c r="O231" s="591"/>
      <c r="P231" s="591"/>
    </row>
    <row r="232" spans="1:16" ht="19.5" hidden="1" x14ac:dyDescent="0.3">
      <c r="A232" s="521"/>
      <c r="B232" s="509"/>
      <c r="C232" s="587" t="s">
        <v>16</v>
      </c>
      <c r="D232" s="527" t="s">
        <v>17</v>
      </c>
      <c r="E232" s="506"/>
      <c r="F232" s="506"/>
      <c r="G232" s="505"/>
      <c r="H232" s="589" t="s">
        <v>12</v>
      </c>
      <c r="I232" s="512"/>
      <c r="J232" s="512"/>
      <c r="K232" s="511"/>
      <c r="L232" s="525">
        <f ca="1">L243+L254</f>
        <v>46500</v>
      </c>
      <c r="M232" s="501"/>
      <c r="N232" s="525">
        <f>N243+N254</f>
        <v>0</v>
      </c>
      <c r="O232" s="501"/>
      <c r="P232" s="501"/>
    </row>
    <row r="233" spans="1:16" ht="18.75" hidden="1" x14ac:dyDescent="0.25">
      <c r="A233" s="521"/>
      <c r="B233" s="509"/>
      <c r="C233" s="509"/>
      <c r="D233" s="814" t="s">
        <v>152</v>
      </c>
      <c r="E233" s="506"/>
      <c r="F233" s="506"/>
      <c r="G233" s="505"/>
      <c r="H233" s="522" t="s">
        <v>12</v>
      </c>
      <c r="I233" s="512"/>
      <c r="J233" s="512"/>
      <c r="K233" s="511"/>
      <c r="L233" s="502">
        <f ca="1">L244+L255</f>
        <v>8000</v>
      </c>
      <c r="M233" s="501"/>
      <c r="N233" s="502">
        <f>N244+N255</f>
        <v>0</v>
      </c>
      <c r="O233" s="501"/>
      <c r="P233" s="501"/>
    </row>
    <row r="234" spans="1:16" ht="18.75" hidden="1" x14ac:dyDescent="0.25">
      <c r="A234" s="510"/>
      <c r="B234" s="509"/>
      <c r="C234" s="509"/>
      <c r="D234" s="729" t="s">
        <v>81</v>
      </c>
      <c r="E234" s="506"/>
      <c r="F234" s="506"/>
      <c r="G234" s="505"/>
      <c r="H234" s="522" t="s">
        <v>12</v>
      </c>
      <c r="I234" s="199"/>
      <c r="J234" s="199"/>
      <c r="K234" s="501"/>
      <c r="L234" s="502">
        <f ca="1">L245+L256</f>
        <v>2000</v>
      </c>
      <c r="M234" s="501"/>
      <c r="N234" s="502">
        <f>N245+N256</f>
        <v>0</v>
      </c>
      <c r="O234" s="501"/>
      <c r="P234" s="501"/>
    </row>
    <row r="235" spans="1:16" ht="18.75" hidden="1" x14ac:dyDescent="0.25">
      <c r="A235" s="510"/>
      <c r="B235" s="509"/>
      <c r="C235" s="509"/>
      <c r="D235" s="729" t="s">
        <v>82</v>
      </c>
      <c r="E235" s="506"/>
      <c r="F235" s="506"/>
      <c r="G235" s="505"/>
      <c r="H235" s="522" t="s">
        <v>12</v>
      </c>
      <c r="I235" s="199"/>
      <c r="J235" s="199"/>
      <c r="K235" s="501"/>
      <c r="L235" s="502">
        <f ca="1">L246+L257</f>
        <v>21000</v>
      </c>
      <c r="M235" s="501"/>
      <c r="N235" s="502">
        <f>N246+N257</f>
        <v>0</v>
      </c>
      <c r="O235" s="501"/>
      <c r="P235" s="501"/>
    </row>
    <row r="236" spans="1:16" ht="18.75" hidden="1" x14ac:dyDescent="0.25">
      <c r="A236" s="510"/>
      <c r="B236" s="509"/>
      <c r="C236" s="509"/>
      <c r="D236" s="295" t="s">
        <v>83</v>
      </c>
      <c r="E236" s="506"/>
      <c r="F236" s="506"/>
      <c r="G236" s="505"/>
      <c r="H236" s="522" t="s">
        <v>12</v>
      </c>
      <c r="I236" s="199"/>
      <c r="J236" s="199"/>
      <c r="K236" s="501"/>
      <c r="L236" s="502">
        <f ca="1">L247+L258</f>
        <v>15500</v>
      </c>
      <c r="M236" s="501"/>
      <c r="N236" s="502">
        <f>N247+N258</f>
        <v>0</v>
      </c>
      <c r="O236" s="501"/>
      <c r="P236" s="501"/>
    </row>
    <row r="237" spans="1:16" ht="19.5" hidden="1" x14ac:dyDescent="0.3">
      <c r="A237" s="518"/>
      <c r="B237" s="507"/>
      <c r="C237" s="587" t="s">
        <v>16</v>
      </c>
      <c r="D237" s="516" t="s">
        <v>36</v>
      </c>
      <c r="E237" s="515"/>
      <c r="F237" s="515"/>
      <c r="G237" s="514"/>
      <c r="H237" s="817"/>
      <c r="I237" s="512"/>
      <c r="J237" s="199"/>
      <c r="K237" s="501"/>
      <c r="L237" s="501"/>
      <c r="M237" s="501"/>
      <c r="N237" s="501"/>
      <c r="O237" s="511"/>
      <c r="P237" s="511"/>
    </row>
    <row r="238" spans="1:16" ht="18.75" hidden="1" x14ac:dyDescent="0.25">
      <c r="A238" s="518"/>
      <c r="B238" s="507"/>
      <c r="C238" s="507"/>
      <c r="D238" s="508" t="s">
        <v>102</v>
      </c>
      <c r="E238" s="584"/>
      <c r="F238" s="584"/>
      <c r="G238" s="513"/>
      <c r="H238" s="519" t="s">
        <v>33</v>
      </c>
      <c r="I238" s="201">
        <f ca="1">I249+I260</f>
        <v>15</v>
      </c>
      <c r="J238" s="201">
        <f>J249+J260</f>
        <v>0</v>
      </c>
      <c r="K238" s="502">
        <f ca="1">IF(I238&gt;0,J238*100/I238,0)</f>
        <v>0</v>
      </c>
      <c r="L238" s="501"/>
      <c r="M238" s="501"/>
      <c r="N238" s="501"/>
      <c r="O238" s="501"/>
      <c r="P238" s="501"/>
    </row>
    <row r="239" spans="1:16" ht="18.75" hidden="1" x14ac:dyDescent="0.25">
      <c r="A239" s="518"/>
      <c r="B239" s="507"/>
      <c r="C239" s="507"/>
      <c r="D239" s="586" t="s">
        <v>41</v>
      </c>
      <c r="E239" s="584"/>
      <c r="F239" s="584"/>
      <c r="G239" s="513"/>
      <c r="H239" s="817"/>
      <c r="I239" s="199"/>
      <c r="J239" s="199"/>
      <c r="K239" s="501"/>
      <c r="L239" s="501"/>
      <c r="M239" s="501"/>
      <c r="N239" s="501"/>
      <c r="O239" s="511"/>
      <c r="P239" s="511"/>
    </row>
    <row r="240" spans="1:16" ht="18.75" hidden="1" x14ac:dyDescent="0.25">
      <c r="A240" s="518"/>
      <c r="B240" s="507"/>
      <c r="C240" s="507"/>
      <c r="D240" s="507"/>
      <c r="E240" s="585" t="s">
        <v>103</v>
      </c>
      <c r="F240" s="584"/>
      <c r="G240" s="513"/>
      <c r="H240" s="519" t="s">
        <v>33</v>
      </c>
      <c r="I240" s="201">
        <f ca="1">I251+I262</f>
        <v>15</v>
      </c>
      <c r="J240" s="201">
        <f>J251+J262</f>
        <v>0</v>
      </c>
      <c r="K240" s="502">
        <f ca="1">IF(I240&gt;0,J240*100/I240,0)</f>
        <v>0</v>
      </c>
      <c r="L240" s="501"/>
      <c r="M240" s="501"/>
      <c r="N240" s="501"/>
      <c r="O240" s="501"/>
      <c r="P240" s="501"/>
    </row>
    <row r="241" spans="1:16" ht="18.75" hidden="1" x14ac:dyDescent="0.25">
      <c r="A241" s="518"/>
      <c r="B241" s="507"/>
      <c r="C241" s="507"/>
      <c r="D241" s="507"/>
      <c r="E241" s="585" t="s">
        <v>104</v>
      </c>
      <c r="F241" s="584"/>
      <c r="G241" s="513"/>
      <c r="H241" s="519" t="s">
        <v>54</v>
      </c>
      <c r="I241" s="201">
        <f ca="1">I252+I263</f>
        <v>1</v>
      </c>
      <c r="J241" s="201">
        <f>J252+J263</f>
        <v>0</v>
      </c>
      <c r="K241" s="502">
        <f ca="1">IF(I241&gt;0,J241*100/I241,0)</f>
        <v>0</v>
      </c>
      <c r="L241" s="501"/>
      <c r="M241" s="501"/>
      <c r="N241" s="501"/>
      <c r="O241" s="501"/>
      <c r="P241" s="501"/>
    </row>
    <row r="242" spans="1:16" ht="19.5" x14ac:dyDescent="0.3">
      <c r="A242" s="281"/>
      <c r="B242" s="282"/>
      <c r="C242" s="816" t="s">
        <v>253</v>
      </c>
      <c r="D242" s="284"/>
      <c r="E242" s="284"/>
      <c r="F242" s="284"/>
      <c r="G242" s="285"/>
      <c r="H242" s="286" t="s">
        <v>33</v>
      </c>
      <c r="I242" s="287">
        <f ca="1">I249</f>
        <v>15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5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46500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1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IFERROR(__xludf.DUMMYFUNCTION("IMPORTRANGE(""https://docs.google.com/spreadsheets/d/1eHaY18a8A9IcSdp1K8H6x8fbOy06t2VsZHhMHf-1x7Y/edit?usp=sharing"",""แผน!AX60"")"),8000)</f>
        <v>8000</v>
      </c>
      <c r="M244" s="58"/>
      <c r="N244" s="600">
        <v>0</v>
      </c>
      <c r="O244" s="58"/>
      <c r="P244" s="58"/>
    </row>
    <row r="245" spans="1:16" ht="18.75" x14ac:dyDescent="0.25">
      <c r="A245" s="276"/>
      <c r="B245" s="280"/>
      <c r="C245" s="280"/>
      <c r="D245" s="729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IFERROR(__xludf.DUMMYFUNCTION("IMPORTRANGE(""https://docs.google.com/spreadsheets/d/1eHaY18a8A9IcSdp1K8H6x8fbOy06t2VsZHhMHf-1x7Y/edit?usp=sharing"",""แผน!AY60"")"),2000)</f>
        <v>2000</v>
      </c>
      <c r="M245" s="58"/>
      <c r="N245" s="600">
        <v>0</v>
      </c>
      <c r="O245" s="58"/>
      <c r="P245" s="58"/>
    </row>
    <row r="246" spans="1:16" ht="18.75" x14ac:dyDescent="0.25">
      <c r="A246" s="276"/>
      <c r="B246" s="280"/>
      <c r="C246" s="280"/>
      <c r="D246" s="729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IFERROR(__xludf.DUMMYFUNCTION("IMPORTRANGE(""https://docs.google.com/spreadsheets/d/1eHaY18a8A9IcSdp1K8H6x8fbOy06t2VsZHhMHf-1x7Y/edit?usp=sharing"",""แผน!AZ60"")"),21000)</f>
        <v>21000</v>
      </c>
      <c r="M246" s="58"/>
      <c r="N246" s="60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IFERROR(__xludf.DUMMYFUNCTION("IMPORTRANGE(""https://docs.google.com/spreadsheets/d/1eHaY18a8A9IcSdp1K8H6x8fbOy06t2VsZHhMHf-1x7Y/edit?usp=sharing"",""แผน!BA60"")"),15500)</f>
        <v>15500</v>
      </c>
      <c r="M247" s="58"/>
      <c r="N247" s="60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5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IFERROR(__xludf.DUMMYFUNCTION("IMPORTRANGE(""https://docs.google.com/spreadsheets/d/1eHaY18a8A9IcSdp1K8H6x8fbOy06t2VsZHhMHf-1x7Y/edit?usp=sharing"",""แผน!BG60"")"),15)</f>
        <v>15</v>
      </c>
      <c r="J249" s="55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252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IFERROR(__xludf.DUMMYFUNCTION("IMPORTRANGE(""https://docs.google.com/spreadsheets/d/1eHaY18a8A9IcSdp1K8H6x8fbOy06t2VsZHhMHf-1x7Y/edit?usp=sharing"",""แผน!KB60"")"),15)</f>
        <v>15</v>
      </c>
      <c r="J251" s="55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251</v>
      </c>
      <c r="F252" s="174"/>
      <c r="G252" s="172"/>
      <c r="H252" s="166" t="s">
        <v>33</v>
      </c>
      <c r="I252" s="196">
        <f ca="1">IFERROR(__xludf.DUMMYFUNCTION("IMPORTRANGE(""https://docs.google.com/spreadsheets/d/1eHaY18a8A9IcSdp1K8H6x8fbOy06t2VsZHhMHf-1x7Y/edit?usp=sharing"",""แผน!KC60"")"),1)</f>
        <v>1</v>
      </c>
      <c r="J252" s="55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15" t="s">
        <v>106</v>
      </c>
      <c r="D253" s="435"/>
      <c r="E253" s="435"/>
      <c r="F253" s="435"/>
      <c r="G253" s="438"/>
      <c r="H253" s="594" t="s">
        <v>33</v>
      </c>
      <c r="I253" s="593">
        <f ca="1">I260</f>
        <v>0</v>
      </c>
      <c r="J253" s="593">
        <f>J260</f>
        <v>0</v>
      </c>
      <c r="K253" s="592">
        <f ca="1">IF(I253&gt;0,J253*100/I253,0)</f>
        <v>0</v>
      </c>
      <c r="L253" s="555"/>
      <c r="M253" s="555"/>
      <c r="N253" s="555"/>
      <c r="O253" s="555"/>
      <c r="P253" s="555"/>
    </row>
    <row r="254" spans="1:16" ht="19.5" hidden="1" x14ac:dyDescent="0.3">
      <c r="A254" s="684"/>
      <c r="B254" s="421"/>
      <c r="C254" s="587" t="s">
        <v>16</v>
      </c>
      <c r="D254" s="590" t="s">
        <v>17</v>
      </c>
      <c r="E254" s="420"/>
      <c r="F254" s="420"/>
      <c r="G254" s="424"/>
      <c r="H254" s="589" t="s">
        <v>12</v>
      </c>
      <c r="I254" s="679"/>
      <c r="J254" s="679"/>
      <c r="K254" s="678"/>
      <c r="L254" s="525">
        <f ca="1">L255+L256+L257+L258</f>
        <v>0</v>
      </c>
      <c r="M254" s="430"/>
      <c r="N254" s="525">
        <f>N255+N256+N257+N258</f>
        <v>0</v>
      </c>
      <c r="O254" s="525">
        <f ca="1">IF(L254&gt;0,N254*100/L254,0)</f>
        <v>0</v>
      </c>
      <c r="P254" s="525">
        <f>IF(M254&gt;0,N254*100/M254,0)</f>
        <v>0</v>
      </c>
    </row>
    <row r="255" spans="1:16" ht="18.75" hidden="1" x14ac:dyDescent="0.25">
      <c r="A255" s="684"/>
      <c r="B255" s="421"/>
      <c r="C255" s="421"/>
      <c r="D255" s="814" t="s">
        <v>152</v>
      </c>
      <c r="E255" s="420"/>
      <c r="F255" s="420"/>
      <c r="G255" s="424"/>
      <c r="H255" s="522" t="s">
        <v>12</v>
      </c>
      <c r="I255" s="679"/>
      <c r="J255" s="679"/>
      <c r="K255" s="678"/>
      <c r="L255" s="502">
        <f ca="1">IFERROR(__xludf.DUMMYFUNCTION("IMPORTRANGE(""https://docs.google.com/spreadsheets/d/1eHaY18a8A9IcSdp1K8H6x8fbOy06t2VsZHhMHf-1x7Y/edit?usp=sharing"",""แผน!BB60"")"),0)</f>
        <v>0</v>
      </c>
      <c r="M255" s="430"/>
      <c r="N255" s="58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29" t="s">
        <v>81</v>
      </c>
      <c r="E256" s="420"/>
      <c r="F256" s="420"/>
      <c r="G256" s="424"/>
      <c r="H256" s="522" t="s">
        <v>12</v>
      </c>
      <c r="I256" s="429"/>
      <c r="J256" s="429"/>
      <c r="K256" s="430"/>
      <c r="L256" s="502">
        <f ca="1">IFERROR(__xludf.DUMMYFUNCTION("IMPORTRANGE(""https://docs.google.com/spreadsheets/d/1eHaY18a8A9IcSdp1K8H6x8fbOy06t2VsZHhMHf-1x7Y/edit?usp=sharing"",""แผน!BC60"")"),0)</f>
        <v>0</v>
      </c>
      <c r="M256" s="430"/>
      <c r="N256" s="58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29" t="s">
        <v>82</v>
      </c>
      <c r="E257" s="420"/>
      <c r="F257" s="420"/>
      <c r="G257" s="424"/>
      <c r="H257" s="522" t="s">
        <v>12</v>
      </c>
      <c r="I257" s="429"/>
      <c r="J257" s="429"/>
      <c r="K257" s="430"/>
      <c r="L257" s="502">
        <f ca="1">IFERROR(__xludf.DUMMYFUNCTION("IMPORTRANGE(""https://docs.google.com/spreadsheets/d/1eHaY18a8A9IcSdp1K8H6x8fbOy06t2VsZHhMHf-1x7Y/edit?usp=sharing"",""แผน!BD60"")"),0)</f>
        <v>0</v>
      </c>
      <c r="M257" s="430"/>
      <c r="N257" s="58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22" t="s">
        <v>12</v>
      </c>
      <c r="I258" s="429"/>
      <c r="J258" s="429"/>
      <c r="K258" s="430"/>
      <c r="L258" s="502">
        <f ca="1">IFERROR(__xludf.DUMMYFUNCTION("IMPORTRANGE(""https://docs.google.com/spreadsheets/d/1eHaY18a8A9IcSdp1K8H6x8fbOy06t2VsZHhMHf-1x7Y/edit?usp=sharing"",""แผน!BE60"")"),0)</f>
        <v>0</v>
      </c>
      <c r="M258" s="430"/>
      <c r="N258" s="588">
        <v>0</v>
      </c>
      <c r="O258" s="430"/>
      <c r="P258" s="430"/>
    </row>
    <row r="259" spans="1:16" ht="19.5" hidden="1" x14ac:dyDescent="0.3">
      <c r="A259" s="683"/>
      <c r="B259" s="432"/>
      <c r="C259" s="587" t="s">
        <v>16</v>
      </c>
      <c r="D259" s="516" t="s">
        <v>36</v>
      </c>
      <c r="E259" s="682"/>
      <c r="F259" s="682"/>
      <c r="G259" s="681"/>
      <c r="H259" s="680"/>
      <c r="I259" s="679"/>
      <c r="J259" s="429"/>
      <c r="K259" s="430"/>
      <c r="L259" s="430"/>
      <c r="M259" s="430"/>
      <c r="N259" s="430"/>
      <c r="O259" s="678"/>
      <c r="P259" s="678"/>
    </row>
    <row r="260" spans="1:16" ht="18.75" hidden="1" x14ac:dyDescent="0.25">
      <c r="A260" s="683"/>
      <c r="B260" s="432"/>
      <c r="C260" s="432"/>
      <c r="D260" s="508" t="s">
        <v>102</v>
      </c>
      <c r="E260" s="422"/>
      <c r="F260" s="422"/>
      <c r="G260" s="680"/>
      <c r="H260" s="519" t="s">
        <v>33</v>
      </c>
      <c r="I260" s="201">
        <f ca="1">IFERROR(__xludf.DUMMYFUNCTION("IMPORTRANGE(""https://docs.google.com/spreadsheets/d/1eHaY18a8A9IcSdp1K8H6x8fbOy06t2VsZHhMHf-1x7Y/edit?usp=sharing"",""แผน!BH60"")"),0)</f>
        <v>0</v>
      </c>
      <c r="J260" s="503">
        <v>0</v>
      </c>
      <c r="K260" s="50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683"/>
      <c r="B261" s="432"/>
      <c r="C261" s="432"/>
      <c r="D261" s="586" t="s">
        <v>41</v>
      </c>
      <c r="E261" s="422"/>
      <c r="F261" s="422"/>
      <c r="G261" s="680"/>
      <c r="H261" s="708"/>
      <c r="I261" s="429"/>
      <c r="J261" s="429"/>
      <c r="K261" s="430"/>
      <c r="L261" s="430"/>
      <c r="M261" s="430"/>
      <c r="N261" s="430"/>
      <c r="O261" s="678"/>
      <c r="P261" s="678"/>
    </row>
    <row r="262" spans="1:16" ht="18.75" hidden="1" x14ac:dyDescent="0.25">
      <c r="A262" s="683"/>
      <c r="B262" s="432"/>
      <c r="C262" s="432"/>
      <c r="D262" s="432"/>
      <c r="E262" s="585" t="s">
        <v>103</v>
      </c>
      <c r="F262" s="422"/>
      <c r="G262" s="680"/>
      <c r="H262" s="519" t="s">
        <v>33</v>
      </c>
      <c r="I262" s="429"/>
      <c r="J262" s="503">
        <v>0</v>
      </c>
      <c r="K262" s="50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683"/>
      <c r="B263" s="432"/>
      <c r="C263" s="432"/>
      <c r="D263" s="432"/>
      <c r="E263" s="585" t="s">
        <v>104</v>
      </c>
      <c r="F263" s="422"/>
      <c r="G263" s="680"/>
      <c r="H263" s="519" t="s">
        <v>54</v>
      </c>
      <c r="I263" s="429"/>
      <c r="J263" s="503">
        <v>0</v>
      </c>
      <c r="K263" s="50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582" t="s">
        <v>107</v>
      </c>
      <c r="B264" s="813"/>
      <c r="C264" s="813"/>
      <c r="D264" s="812"/>
      <c r="E264" s="812"/>
      <c r="F264" s="812"/>
      <c r="G264" s="811"/>
      <c r="H264" s="810"/>
      <c r="I264" s="809"/>
      <c r="J264" s="809"/>
      <c r="K264" s="808"/>
      <c r="L264" s="808"/>
      <c r="M264" s="808"/>
      <c r="N264" s="808"/>
      <c r="O264" s="808"/>
      <c r="P264" s="808"/>
    </row>
    <row r="265" spans="1:16" ht="19.5" hidden="1" x14ac:dyDescent="0.3">
      <c r="A265" s="807"/>
      <c r="B265" s="575" t="s">
        <v>108</v>
      </c>
      <c r="C265" s="744"/>
      <c r="D265" s="682"/>
      <c r="E265" s="682"/>
      <c r="F265" s="682"/>
      <c r="G265" s="681"/>
      <c r="H265" s="806" t="s">
        <v>33</v>
      </c>
      <c r="I265" s="805">
        <f>I276</f>
        <v>0</v>
      </c>
      <c r="J265" s="805">
        <f>J276</f>
        <v>0</v>
      </c>
      <c r="K265" s="571">
        <f>IF(I265&gt;0,J265*100/I265,0)</f>
        <v>0</v>
      </c>
      <c r="L265" s="804"/>
      <c r="M265" s="804"/>
      <c r="N265" s="804"/>
      <c r="O265" s="804"/>
      <c r="P265" s="804"/>
    </row>
    <row r="266" spans="1:16" ht="19.5" hidden="1" x14ac:dyDescent="0.3">
      <c r="A266" s="684"/>
      <c r="B266" s="420"/>
      <c r="C266" s="517" t="s">
        <v>16</v>
      </c>
      <c r="D266" s="527" t="s">
        <v>17</v>
      </c>
      <c r="E266" s="420"/>
      <c r="F266" s="420"/>
      <c r="G266" s="424"/>
      <c r="H266" s="526" t="s">
        <v>12</v>
      </c>
      <c r="I266" s="429"/>
      <c r="J266" s="429"/>
      <c r="K266" s="430"/>
      <c r="L266" s="525">
        <f ca="1">L267+L268</f>
        <v>0</v>
      </c>
      <c r="M266" s="525">
        <f ca="1">M267+M268</f>
        <v>0</v>
      </c>
      <c r="N266" s="525">
        <f ca="1">N267+N268</f>
        <v>0</v>
      </c>
      <c r="O266" s="525">
        <f t="shared" ref="O266:O274" ca="1" si="33">IF(L266&gt;0,N266*100/L266,0)</f>
        <v>0</v>
      </c>
      <c r="P266" s="525">
        <f t="shared" ref="P266:P274" ca="1" si="34">IF(M266&gt;0,N266*100/M266,0)</f>
        <v>0</v>
      </c>
    </row>
    <row r="267" spans="1:16" ht="18.75" hidden="1" x14ac:dyDescent="0.25">
      <c r="A267" s="684"/>
      <c r="B267" s="420"/>
      <c r="C267" s="420"/>
      <c r="D267" s="420"/>
      <c r="E267" s="520" t="s">
        <v>18</v>
      </c>
      <c r="F267" s="420"/>
      <c r="G267" s="424"/>
      <c r="H267" s="524" t="s">
        <v>12</v>
      </c>
      <c r="I267" s="429"/>
      <c r="J267" s="429"/>
      <c r="K267" s="430"/>
      <c r="L267" s="502">
        <f t="shared" ref="L267:N268" si="35">L270+L273</f>
        <v>0</v>
      </c>
      <c r="M267" s="502">
        <f t="shared" si="35"/>
        <v>0</v>
      </c>
      <c r="N267" s="502">
        <f t="shared" si="35"/>
        <v>0</v>
      </c>
      <c r="O267" s="502">
        <f t="shared" si="33"/>
        <v>0</v>
      </c>
      <c r="P267" s="502">
        <f t="shared" si="34"/>
        <v>0</v>
      </c>
    </row>
    <row r="268" spans="1:16" ht="18.75" hidden="1" x14ac:dyDescent="0.25">
      <c r="A268" s="684"/>
      <c r="B268" s="420"/>
      <c r="C268" s="420"/>
      <c r="D268" s="420"/>
      <c r="E268" s="520" t="s">
        <v>19</v>
      </c>
      <c r="F268" s="420"/>
      <c r="G268" s="424"/>
      <c r="H268" s="524" t="s">
        <v>12</v>
      </c>
      <c r="I268" s="429"/>
      <c r="J268" s="429"/>
      <c r="K268" s="430"/>
      <c r="L268" s="502">
        <f t="shared" ca="1" si="35"/>
        <v>0</v>
      </c>
      <c r="M268" s="502">
        <f t="shared" ca="1" si="35"/>
        <v>0</v>
      </c>
      <c r="N268" s="502">
        <f t="shared" ca="1" si="35"/>
        <v>0</v>
      </c>
      <c r="O268" s="502">
        <f t="shared" ca="1" si="33"/>
        <v>0</v>
      </c>
      <c r="P268" s="502">
        <f t="shared" ca="1" si="34"/>
        <v>0</v>
      </c>
    </row>
    <row r="269" spans="1:16" ht="18.75" hidden="1" x14ac:dyDescent="0.25">
      <c r="A269" s="684"/>
      <c r="B269" s="421"/>
      <c r="C269" s="420"/>
      <c r="D269" s="523" t="s">
        <v>20</v>
      </c>
      <c r="E269" s="420"/>
      <c r="F269" s="420"/>
      <c r="G269" s="424"/>
      <c r="H269" s="522" t="s">
        <v>12</v>
      </c>
      <c r="I269" s="679"/>
      <c r="J269" s="679"/>
      <c r="K269" s="678"/>
      <c r="L269" s="502">
        <f ca="1">L270+L271</f>
        <v>0</v>
      </c>
      <c r="M269" s="502">
        <f ca="1">M270+M271</f>
        <v>0</v>
      </c>
      <c r="N269" s="502">
        <f ca="1">N270+N271</f>
        <v>0</v>
      </c>
      <c r="O269" s="502">
        <f t="shared" ca="1" si="33"/>
        <v>0</v>
      </c>
      <c r="P269" s="502">
        <f t="shared" ca="1" si="34"/>
        <v>0</v>
      </c>
    </row>
    <row r="270" spans="1:16" ht="18.75" hidden="1" x14ac:dyDescent="0.25">
      <c r="A270" s="684"/>
      <c r="B270" s="421"/>
      <c r="C270" s="421"/>
      <c r="D270" s="420"/>
      <c r="E270" s="520" t="s">
        <v>34</v>
      </c>
      <c r="F270" s="420"/>
      <c r="G270" s="424"/>
      <c r="H270" s="522" t="s">
        <v>12</v>
      </c>
      <c r="I270" s="679"/>
      <c r="J270" s="679"/>
      <c r="K270" s="678"/>
      <c r="L270" s="502">
        <v>0</v>
      </c>
      <c r="M270" s="502">
        <v>0</v>
      </c>
      <c r="N270" s="502">
        <v>0</v>
      </c>
      <c r="O270" s="502">
        <f t="shared" si="33"/>
        <v>0</v>
      </c>
      <c r="P270" s="502">
        <f t="shared" si="34"/>
        <v>0</v>
      </c>
    </row>
    <row r="271" spans="1:16" ht="18.75" hidden="1" x14ac:dyDescent="0.25">
      <c r="A271" s="684"/>
      <c r="B271" s="421"/>
      <c r="C271" s="421"/>
      <c r="D271" s="420"/>
      <c r="E271" s="520" t="s">
        <v>35</v>
      </c>
      <c r="F271" s="420"/>
      <c r="G271" s="424"/>
      <c r="H271" s="522" t="s">
        <v>12</v>
      </c>
      <c r="I271" s="679"/>
      <c r="J271" s="679"/>
      <c r="K271" s="678"/>
      <c r="L271" s="502">
        <f ca="1">IFERROR(__xludf.DUMMYFUNCTION("IMPORTRANGE(""https://docs.google.com/spreadsheets/d/1-uDff_7J0KD5mKrp0Vvzr7lt3OU09vwQwhkpOPPYv2Y/edit?usp=sharing"",""งบพรบ!DE60"")"),0)</f>
        <v>0</v>
      </c>
      <c r="M271" s="502">
        <f ca="1">IFERROR(__xludf.DUMMYFUNCTION("IMPORTRANGE(""https://docs.google.com/spreadsheets/d/1-uDff_7J0KD5mKrp0Vvzr7lt3OU09vwQwhkpOPPYv2Y/edit?usp=sharing"",""งบพรบ!DJ60"")"),0)</f>
        <v>0</v>
      </c>
      <c r="N271" s="502">
        <f ca="1">IFERROR(__xludf.DUMMYFUNCTION("IMPORTRANGE(""https://docs.google.com/spreadsheets/d/1-uDff_7J0KD5mKrp0Vvzr7lt3OU09vwQwhkpOPPYv2Y/edit?usp=sharing"",""งบพรบ!DL60"")"),0)</f>
        <v>0</v>
      </c>
      <c r="O271" s="502">
        <f t="shared" ca="1" si="33"/>
        <v>0</v>
      </c>
      <c r="P271" s="502">
        <f t="shared" ca="1" si="34"/>
        <v>0</v>
      </c>
    </row>
    <row r="272" spans="1:16" ht="18.75" hidden="1" x14ac:dyDescent="0.25">
      <c r="A272" s="684"/>
      <c r="B272" s="421"/>
      <c r="C272" s="421"/>
      <c r="D272" s="803" t="s">
        <v>21</v>
      </c>
      <c r="E272" s="420"/>
      <c r="F272" s="420"/>
      <c r="G272" s="424"/>
      <c r="H272" s="519" t="s">
        <v>12</v>
      </c>
      <c r="I272" s="679"/>
      <c r="J272" s="679"/>
      <c r="K272" s="678"/>
      <c r="L272" s="502">
        <f ca="1">L273+L274</f>
        <v>0</v>
      </c>
      <c r="M272" s="502">
        <f ca="1">M273+M274</f>
        <v>0</v>
      </c>
      <c r="N272" s="502">
        <f ca="1">N273+N274</f>
        <v>0</v>
      </c>
      <c r="O272" s="502">
        <f t="shared" ca="1" si="33"/>
        <v>0</v>
      </c>
      <c r="P272" s="502">
        <f t="shared" ca="1" si="34"/>
        <v>0</v>
      </c>
    </row>
    <row r="273" spans="1:16" ht="18.75" hidden="1" x14ac:dyDescent="0.25">
      <c r="A273" s="684"/>
      <c r="B273" s="420"/>
      <c r="C273" s="421"/>
      <c r="D273" s="420"/>
      <c r="E273" s="520" t="s">
        <v>18</v>
      </c>
      <c r="F273" s="420"/>
      <c r="G273" s="424"/>
      <c r="H273" s="522" t="s">
        <v>12</v>
      </c>
      <c r="I273" s="679"/>
      <c r="J273" s="679"/>
      <c r="K273" s="678"/>
      <c r="L273" s="502">
        <v>0</v>
      </c>
      <c r="M273" s="502">
        <v>0</v>
      </c>
      <c r="N273" s="502">
        <v>0</v>
      </c>
      <c r="O273" s="502">
        <f t="shared" si="33"/>
        <v>0</v>
      </c>
      <c r="P273" s="502">
        <f t="shared" si="34"/>
        <v>0</v>
      </c>
    </row>
    <row r="274" spans="1:16" ht="18.75" hidden="1" x14ac:dyDescent="0.25">
      <c r="A274" s="684"/>
      <c r="B274" s="420"/>
      <c r="C274" s="420"/>
      <c r="D274" s="421"/>
      <c r="E274" s="520" t="s">
        <v>19</v>
      </c>
      <c r="F274" s="420"/>
      <c r="G274" s="424"/>
      <c r="H274" s="519" t="s">
        <v>12</v>
      </c>
      <c r="I274" s="679"/>
      <c r="J274" s="679"/>
      <c r="K274" s="678"/>
      <c r="L274" s="502">
        <f ca="1">IFERROR(__xludf.DUMMYFUNCTION("IMPORTRANGE(""https://docs.google.com/spreadsheets/d/1-uDff_7J0KD5mKrp0Vvzr7lt3OU09vwQwhkpOPPYv2Y/edit?usp=sharing"",""งบพรบ!DH60"")"),0)</f>
        <v>0</v>
      </c>
      <c r="M274" s="502">
        <f ca="1">IFERROR(__xludf.DUMMYFUNCTION("IMPORTRANGE(""https://docs.google.com/spreadsheets/d/1-uDff_7J0KD5mKrp0Vvzr7lt3OU09vwQwhkpOPPYv2Y/edit?usp=sharing"",""งบพรบ!DK60"")"),0)</f>
        <v>0</v>
      </c>
      <c r="N274" s="502">
        <f ca="1">IFERROR(__xludf.DUMMYFUNCTION("IMPORTRANGE(""https://docs.google.com/spreadsheets/d/1-uDff_7J0KD5mKrp0Vvzr7lt3OU09vwQwhkpOPPYv2Y/edit?usp=sharing"",""งบพรบ!DM60"")"),0)</f>
        <v>0</v>
      </c>
      <c r="O274" s="502">
        <f t="shared" ca="1" si="33"/>
        <v>0</v>
      </c>
      <c r="P274" s="502">
        <f t="shared" ca="1" si="34"/>
        <v>0</v>
      </c>
    </row>
    <row r="275" spans="1:16" ht="19.5" hidden="1" x14ac:dyDescent="0.3">
      <c r="A275" s="683"/>
      <c r="B275" s="432"/>
      <c r="C275" s="520" t="s">
        <v>16</v>
      </c>
      <c r="D275" s="802" t="s">
        <v>36</v>
      </c>
      <c r="E275" s="682"/>
      <c r="F275" s="682"/>
      <c r="G275" s="681"/>
      <c r="H275" s="680"/>
      <c r="I275" s="679"/>
      <c r="J275" s="679"/>
      <c r="K275" s="678"/>
      <c r="L275" s="678"/>
      <c r="M275" s="678"/>
      <c r="N275" s="678"/>
      <c r="O275" s="678"/>
      <c r="P275" s="678"/>
    </row>
    <row r="276" spans="1:16" ht="12.75" hidden="1" x14ac:dyDescent="0.2">
      <c r="A276" s="766"/>
      <c r="B276" s="765"/>
      <c r="C276" s="765"/>
      <c r="D276" s="764"/>
      <c r="E276" s="764"/>
      <c r="F276" s="764"/>
      <c r="G276" s="763"/>
      <c r="H276" s="762"/>
      <c r="I276" s="761"/>
      <c r="J276" s="761"/>
      <c r="K276" s="760"/>
      <c r="L276" s="760"/>
      <c r="M276" s="760"/>
      <c r="N276" s="760"/>
      <c r="O276" s="760"/>
      <c r="P276" s="760"/>
    </row>
    <row r="277" spans="1:16" ht="18.75" hidden="1" x14ac:dyDescent="0.25">
      <c r="A277" s="801"/>
      <c r="B277" s="675"/>
      <c r="C277" s="675"/>
      <c r="D277" s="800" t="s">
        <v>109</v>
      </c>
      <c r="E277" s="799"/>
      <c r="F277" s="799"/>
      <c r="G277" s="798"/>
      <c r="H277" s="797" t="s">
        <v>33</v>
      </c>
      <c r="I277" s="493">
        <v>0</v>
      </c>
      <c r="J277" s="493">
        <v>0</v>
      </c>
      <c r="K277" s="796">
        <v>0</v>
      </c>
      <c r="L277" s="795"/>
      <c r="M277" s="795"/>
      <c r="N277" s="795"/>
      <c r="O277" s="795"/>
      <c r="P277" s="795"/>
    </row>
    <row r="278" spans="1:16" ht="19.5" hidden="1" x14ac:dyDescent="0.3">
      <c r="A278" s="794" t="s">
        <v>110</v>
      </c>
      <c r="B278" s="792"/>
      <c r="C278" s="792"/>
      <c r="D278" s="792"/>
      <c r="E278" s="793"/>
      <c r="F278" s="793"/>
      <c r="G278" s="793"/>
      <c r="H278" s="792"/>
      <c r="I278" s="791"/>
      <c r="J278" s="791"/>
      <c r="K278" s="790"/>
      <c r="L278" s="790"/>
      <c r="M278" s="790"/>
      <c r="N278" s="790"/>
      <c r="O278" s="790"/>
      <c r="P278" s="789"/>
    </row>
    <row r="279" spans="1:16" ht="19.5" hidden="1" x14ac:dyDescent="0.3">
      <c r="A279" s="788" t="s">
        <v>111</v>
      </c>
      <c r="B279" s="787"/>
      <c r="C279" s="786"/>
      <c r="D279" s="787"/>
      <c r="E279" s="787"/>
      <c r="F279" s="787"/>
      <c r="G279" s="787"/>
      <c r="H279" s="786"/>
      <c r="I279" s="785"/>
      <c r="J279" s="784"/>
      <c r="K279" s="783"/>
      <c r="L279" s="783"/>
      <c r="M279" s="783"/>
      <c r="N279" s="783"/>
      <c r="O279" s="783"/>
      <c r="P279" s="783"/>
    </row>
    <row r="280" spans="1:16" ht="19.5" hidden="1" x14ac:dyDescent="0.3">
      <c r="A280" s="781"/>
      <c r="B280" s="782" t="s">
        <v>112</v>
      </c>
      <c r="C280" s="779"/>
      <c r="D280" s="780"/>
      <c r="E280" s="779"/>
      <c r="F280" s="779"/>
      <c r="G280" s="778"/>
      <c r="H280" s="777" t="s">
        <v>33</v>
      </c>
      <c r="I280" s="776">
        <f ca="1">I293</f>
        <v>0</v>
      </c>
      <c r="J280" s="776">
        <f>J293</f>
        <v>0</v>
      </c>
      <c r="K280" s="775">
        <f ca="1">IF(I280&gt;0,J280*100/I280,0)</f>
        <v>0</v>
      </c>
      <c r="L280" s="774"/>
      <c r="M280" s="774"/>
      <c r="N280" s="774"/>
      <c r="O280" s="774"/>
      <c r="P280" s="774"/>
    </row>
    <row r="281" spans="1:16" ht="19.5" hidden="1" x14ac:dyDescent="0.3">
      <c r="A281" s="781"/>
      <c r="B281" s="779"/>
      <c r="C281" s="779"/>
      <c r="D281" s="780"/>
      <c r="E281" s="779"/>
      <c r="F281" s="779"/>
      <c r="G281" s="778"/>
      <c r="H281" s="777" t="s">
        <v>44</v>
      </c>
      <c r="I281" s="776">
        <f ca="1">I292</f>
        <v>0</v>
      </c>
      <c r="J281" s="776">
        <f>J292</f>
        <v>0</v>
      </c>
      <c r="K281" s="775">
        <f ca="1">IF(I281&gt;0,J281*100/I281,0)</f>
        <v>0</v>
      </c>
      <c r="L281" s="774"/>
      <c r="M281" s="774"/>
      <c r="N281" s="774"/>
      <c r="O281" s="774"/>
      <c r="P281" s="774"/>
    </row>
    <row r="282" spans="1:16" ht="19.5" hidden="1" x14ac:dyDescent="0.3">
      <c r="A282" s="684"/>
      <c r="B282" s="420"/>
      <c r="C282" s="718" t="s">
        <v>16</v>
      </c>
      <c r="D282" s="717" t="s">
        <v>17</v>
      </c>
      <c r="E282" s="420"/>
      <c r="F282" s="420"/>
      <c r="G282" s="424"/>
      <c r="H282" s="716" t="s">
        <v>12</v>
      </c>
      <c r="I282" s="429"/>
      <c r="J282" s="429"/>
      <c r="K282" s="430"/>
      <c r="L282" s="715">
        <f ca="1">L283+L284</f>
        <v>0</v>
      </c>
      <c r="M282" s="715">
        <f ca="1">M283+M284</f>
        <v>0</v>
      </c>
      <c r="N282" s="715">
        <f ca="1">N283+N284</f>
        <v>0</v>
      </c>
      <c r="O282" s="715">
        <f t="shared" ref="O282:O290" ca="1" si="36">IF(L282&gt;0,N282*100/L282,0)</f>
        <v>0</v>
      </c>
      <c r="P282" s="715">
        <f t="shared" ref="P282:P290" ca="1" si="37">IF(M282&gt;0,N282*100/M282,0)</f>
        <v>0</v>
      </c>
    </row>
    <row r="283" spans="1:16" ht="18.75" hidden="1" x14ac:dyDescent="0.25">
      <c r="A283" s="684"/>
      <c r="B283" s="420"/>
      <c r="C283" s="420"/>
      <c r="D283" s="420"/>
      <c r="E283" s="520" t="s">
        <v>18</v>
      </c>
      <c r="F283" s="420"/>
      <c r="G283" s="424"/>
      <c r="H283" s="524" t="s">
        <v>12</v>
      </c>
      <c r="I283" s="429"/>
      <c r="J283" s="429"/>
      <c r="K283" s="430"/>
      <c r="L283" s="502">
        <f t="shared" ref="L283:N284" si="38">L286+L289</f>
        <v>0</v>
      </c>
      <c r="M283" s="502">
        <f t="shared" si="38"/>
        <v>0</v>
      </c>
      <c r="N283" s="502">
        <f t="shared" si="38"/>
        <v>0</v>
      </c>
      <c r="O283" s="502">
        <f t="shared" si="36"/>
        <v>0</v>
      </c>
      <c r="P283" s="502">
        <f t="shared" si="37"/>
        <v>0</v>
      </c>
    </row>
    <row r="284" spans="1:16" ht="18.75" hidden="1" x14ac:dyDescent="0.25">
      <c r="A284" s="684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t="shared" ca="1" si="38"/>
        <v>0</v>
      </c>
      <c r="M284" s="427">
        <f t="shared" ca="1" si="38"/>
        <v>0</v>
      </c>
      <c r="N284" s="427">
        <f t="shared" ca="1" si="38"/>
        <v>0</v>
      </c>
      <c r="O284" s="427">
        <f t="shared" ca="1" si="36"/>
        <v>0</v>
      </c>
      <c r="P284" s="427">
        <f t="shared" ca="1" si="37"/>
        <v>0</v>
      </c>
    </row>
    <row r="285" spans="1:16" ht="18.75" hidden="1" x14ac:dyDescent="0.25">
      <c r="A285" s="684"/>
      <c r="B285" s="421"/>
      <c r="C285" s="420"/>
      <c r="D285" s="713" t="s">
        <v>20</v>
      </c>
      <c r="E285" s="420"/>
      <c r="F285" s="420"/>
      <c r="G285" s="424"/>
      <c r="H285" s="714" t="s">
        <v>12</v>
      </c>
      <c r="I285" s="679"/>
      <c r="J285" s="679"/>
      <c r="K285" s="678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t="shared" ca="1" si="36"/>
        <v>0</v>
      </c>
      <c r="P285" s="427">
        <f t="shared" ca="1" si="37"/>
        <v>0</v>
      </c>
    </row>
    <row r="286" spans="1:16" ht="18.75" hidden="1" x14ac:dyDescent="0.25">
      <c r="A286" s="684"/>
      <c r="B286" s="421"/>
      <c r="C286" s="421"/>
      <c r="D286" s="420"/>
      <c r="E286" s="603" t="s">
        <v>34</v>
      </c>
      <c r="F286" s="420"/>
      <c r="G286" s="424"/>
      <c r="H286" s="522" t="s">
        <v>12</v>
      </c>
      <c r="I286" s="679"/>
      <c r="J286" s="679"/>
      <c r="K286" s="678"/>
      <c r="L286" s="502">
        <v>0</v>
      </c>
      <c r="M286" s="502">
        <v>0</v>
      </c>
      <c r="N286" s="502">
        <v>0</v>
      </c>
      <c r="O286" s="502">
        <f t="shared" si="36"/>
        <v>0</v>
      </c>
      <c r="P286" s="502">
        <f t="shared" si="37"/>
        <v>0</v>
      </c>
    </row>
    <row r="287" spans="1:16" ht="18.75" hidden="1" x14ac:dyDescent="0.25">
      <c r="A287" s="684"/>
      <c r="B287" s="421"/>
      <c r="C287" s="421"/>
      <c r="D287" s="420"/>
      <c r="E287" s="729" t="s">
        <v>35</v>
      </c>
      <c r="F287" s="420"/>
      <c r="G287" s="424"/>
      <c r="H287" s="714" t="s">
        <v>12</v>
      </c>
      <c r="I287" s="679"/>
      <c r="J287" s="679"/>
      <c r="K287" s="678"/>
      <c r="L287" s="427">
        <f ca="1">IFERROR(__xludf.DUMMYFUNCTION("IMPORTRANGE(""https://docs.google.com/spreadsheets/d/1-uDff_7J0KD5mKrp0Vvzr7lt3OU09vwQwhkpOPPYv2Y/edit?usp=sharing"",""งบพรบ!DO60"")"),0)</f>
        <v>0</v>
      </c>
      <c r="M287" s="427">
        <f ca="1">IFERROR(__xludf.DUMMYFUNCTION("IMPORTRANGE(""https://docs.google.com/spreadsheets/d/1-uDff_7J0KD5mKrp0Vvzr7lt3OU09vwQwhkpOPPYv2Y/edit?usp=sharing"",""งบพรบ!DT60"")"),0)</f>
        <v>0</v>
      </c>
      <c r="N287" s="427">
        <f ca="1">IFERROR(__xludf.DUMMYFUNCTION("IMPORTRANGE(""https://docs.google.com/spreadsheets/d/1-uDff_7J0KD5mKrp0Vvzr7lt3OU09vwQwhkpOPPYv2Y/edit?usp=sharing"",""งบพรบ!DV60"")"),0)</f>
        <v>0</v>
      </c>
      <c r="O287" s="427">
        <f t="shared" ca="1" si="36"/>
        <v>0</v>
      </c>
      <c r="P287" s="427">
        <f t="shared" ca="1" si="37"/>
        <v>0</v>
      </c>
    </row>
    <row r="288" spans="1:16" ht="18.75" hidden="1" x14ac:dyDescent="0.25">
      <c r="A288" s="684"/>
      <c r="B288" s="421"/>
      <c r="C288" s="421"/>
      <c r="D288" s="713" t="s">
        <v>21</v>
      </c>
      <c r="E288" s="420"/>
      <c r="F288" s="420"/>
      <c r="G288" s="424"/>
      <c r="H288" s="705" t="s">
        <v>12</v>
      </c>
      <c r="I288" s="679"/>
      <c r="J288" s="679"/>
      <c r="K288" s="678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t="shared" ca="1" si="36"/>
        <v>0</v>
      </c>
      <c r="P288" s="427">
        <f t="shared" ca="1" si="37"/>
        <v>0</v>
      </c>
    </row>
    <row r="289" spans="1:16" ht="18.75" hidden="1" x14ac:dyDescent="0.25">
      <c r="A289" s="684"/>
      <c r="B289" s="421"/>
      <c r="C289" s="421"/>
      <c r="D289" s="420"/>
      <c r="E289" s="520" t="s">
        <v>18</v>
      </c>
      <c r="F289" s="420"/>
      <c r="G289" s="424"/>
      <c r="H289" s="522" t="s">
        <v>12</v>
      </c>
      <c r="I289" s="679"/>
      <c r="J289" s="679"/>
      <c r="K289" s="678"/>
      <c r="L289" s="502">
        <v>0</v>
      </c>
      <c r="M289" s="502">
        <v>0</v>
      </c>
      <c r="N289" s="502">
        <v>0</v>
      </c>
      <c r="O289" s="502">
        <f t="shared" si="36"/>
        <v>0</v>
      </c>
      <c r="P289" s="502">
        <f t="shared" si="37"/>
        <v>0</v>
      </c>
    </row>
    <row r="290" spans="1:16" ht="18.75" hidden="1" x14ac:dyDescent="0.25">
      <c r="A290" s="684"/>
      <c r="B290" s="421"/>
      <c r="C290" s="421"/>
      <c r="D290" s="420"/>
      <c r="E290" s="295" t="s">
        <v>19</v>
      </c>
      <c r="F290" s="420"/>
      <c r="G290" s="424"/>
      <c r="H290" s="705" t="s">
        <v>12</v>
      </c>
      <c r="I290" s="679"/>
      <c r="J290" s="679"/>
      <c r="K290" s="678"/>
      <c r="L290" s="427">
        <f ca="1">IFERROR(__xludf.DUMMYFUNCTION("IMPORTRANGE(""https://docs.google.com/spreadsheets/d/1-uDff_7J0KD5mKrp0Vvzr7lt3OU09vwQwhkpOPPYv2Y/edit?usp=sharing"",""งบพรบ!DR60"")"),0)</f>
        <v>0</v>
      </c>
      <c r="M290" s="427">
        <f ca="1">IFERROR(__xludf.DUMMYFUNCTION("IMPORTRANGE(""https://docs.google.com/spreadsheets/d/1-uDff_7J0KD5mKrp0Vvzr7lt3OU09vwQwhkpOPPYv2Y/edit?usp=sharing"",""งบพรบ!DU60"")"),0)</f>
        <v>0</v>
      </c>
      <c r="N290" s="427">
        <f ca="1">IFERROR(__xludf.DUMMYFUNCTION("IMPORTRANGE(""https://docs.google.com/spreadsheets/d/1-uDff_7J0KD5mKrp0Vvzr7lt3OU09vwQwhkpOPPYv2Y/edit?usp=sharing"",""งบพรบ!DW60"")"),0)</f>
        <v>0</v>
      </c>
      <c r="O290" s="427">
        <f t="shared" ca="1" si="36"/>
        <v>0</v>
      </c>
      <c r="P290" s="427">
        <f t="shared" ca="1" si="37"/>
        <v>0</v>
      </c>
    </row>
    <row r="291" spans="1:16" ht="19.5" hidden="1" x14ac:dyDescent="0.3">
      <c r="A291" s="683"/>
      <c r="B291" s="432"/>
      <c r="C291" s="711" t="s">
        <v>16</v>
      </c>
      <c r="D291" s="737" t="s">
        <v>36</v>
      </c>
      <c r="E291" s="682"/>
      <c r="F291" s="682"/>
      <c r="G291" s="681"/>
      <c r="H291" s="680"/>
      <c r="I291" s="679"/>
      <c r="J291" s="679"/>
      <c r="K291" s="678"/>
      <c r="L291" s="678"/>
      <c r="M291" s="678"/>
      <c r="N291" s="678"/>
      <c r="O291" s="678"/>
      <c r="P291" s="678"/>
    </row>
    <row r="292" spans="1:16" ht="18.75" hidden="1" x14ac:dyDescent="0.25">
      <c r="A292" s="683"/>
      <c r="B292" s="432"/>
      <c r="C292" s="432"/>
      <c r="D292" s="423" t="s">
        <v>113</v>
      </c>
      <c r="E292" s="432"/>
      <c r="F292" s="422"/>
      <c r="G292" s="680"/>
      <c r="H292" s="707" t="s">
        <v>44</v>
      </c>
      <c r="I292" s="426">
        <f ca="1">IFERROR(__xludf.DUMMYFUNCTION("IMPORTRANGE(""https://docs.google.com/spreadsheets/d/1eHaY18a8A9IcSdp1K8H6x8fbOy06t2VsZHhMHf-1x7Y/edit?usp=sharing"",""แผน!EE60"")"),0)</f>
        <v>0</v>
      </c>
      <c r="J292" s="736">
        <v>0</v>
      </c>
      <c r="K292" s="767">
        <f ca="1">IF(I292&gt;0,J292*100/I292,0)</f>
        <v>0</v>
      </c>
      <c r="L292" s="678"/>
      <c r="M292" s="678"/>
      <c r="N292" s="678"/>
      <c r="O292" s="678"/>
      <c r="P292" s="678"/>
    </row>
    <row r="293" spans="1:16" ht="19.5" hidden="1" x14ac:dyDescent="0.3">
      <c r="A293" s="683"/>
      <c r="B293" s="432"/>
      <c r="C293" s="432"/>
      <c r="D293" s="423" t="s">
        <v>114</v>
      </c>
      <c r="E293" s="432"/>
      <c r="F293" s="422"/>
      <c r="G293" s="680"/>
      <c r="H293" s="773" t="s">
        <v>33</v>
      </c>
      <c r="I293" s="772">
        <f ca="1">IFERROR(__xludf.DUMMYFUNCTION("IMPORTRANGE(""https://docs.google.com/spreadsheets/d/1eHaY18a8A9IcSdp1K8H6x8fbOy06t2VsZHhMHf-1x7Y/edit?usp=sharing"",""แผน!ED60"")"),0)</f>
        <v>0</v>
      </c>
      <c r="J293" s="772">
        <f>J296</f>
        <v>0</v>
      </c>
      <c r="K293" s="771">
        <f ca="1">IF(I293&gt;0,J293*100/I293,0)</f>
        <v>0</v>
      </c>
      <c r="L293" s="678"/>
      <c r="M293" s="678"/>
      <c r="N293" s="678"/>
      <c r="O293" s="678"/>
      <c r="P293" s="678"/>
    </row>
    <row r="294" spans="1:16" ht="19.5" hidden="1" x14ac:dyDescent="0.3">
      <c r="A294" s="683"/>
      <c r="B294" s="432"/>
      <c r="C294" s="432"/>
      <c r="D294" s="432"/>
      <c r="E294" s="770" t="s">
        <v>159</v>
      </c>
      <c r="F294" s="422"/>
      <c r="G294" s="680"/>
      <c r="H294" s="680"/>
      <c r="I294" s="679"/>
      <c r="J294" s="429"/>
      <c r="K294" s="678"/>
      <c r="L294" s="678"/>
      <c r="M294" s="678"/>
      <c r="N294" s="678"/>
      <c r="O294" s="678"/>
      <c r="P294" s="678"/>
    </row>
    <row r="295" spans="1:16" ht="19.5" hidden="1" x14ac:dyDescent="0.3">
      <c r="A295" s="683"/>
      <c r="B295" s="432"/>
      <c r="C295" s="432"/>
      <c r="D295" s="422"/>
      <c r="E295" s="423" t="s">
        <v>158</v>
      </c>
      <c r="F295" s="422"/>
      <c r="G295" s="680"/>
      <c r="H295" s="769" t="s">
        <v>33</v>
      </c>
      <c r="I295" s="768">
        <f ca="1">IFERROR(__xludf.DUMMYFUNCTION("IMPORTRANGE(""https://docs.google.com/spreadsheets/d/1eHaY18a8A9IcSdp1K8H6x8fbOy06t2VsZHhMHf-1x7Y/edit?usp=sharing"",""แผน!ED60"")"),0)</f>
        <v>0</v>
      </c>
      <c r="J295" s="736">
        <v>0</v>
      </c>
      <c r="K295" s="767">
        <f ca="1">IF(I295&gt;0,J295*100/I295,0)</f>
        <v>0</v>
      </c>
      <c r="L295" s="678"/>
      <c r="M295" s="678"/>
      <c r="N295" s="678"/>
      <c r="O295" s="678"/>
      <c r="P295" s="678"/>
    </row>
    <row r="296" spans="1:16" ht="19.5" hidden="1" x14ac:dyDescent="0.3">
      <c r="A296" s="683"/>
      <c r="B296" s="432"/>
      <c r="C296" s="432"/>
      <c r="D296" s="422"/>
      <c r="E296" s="423" t="s">
        <v>157</v>
      </c>
      <c r="F296" s="422"/>
      <c r="G296" s="680"/>
      <c r="H296" s="769" t="s">
        <v>33</v>
      </c>
      <c r="I296" s="768">
        <f ca="1">IFERROR(__xludf.DUMMYFUNCTION("IMPORTRANGE(""https://docs.google.com/spreadsheets/d/1eHaY18a8A9IcSdp1K8H6x8fbOy06t2VsZHhMHf-1x7Y/edit?usp=sharing"",""แผน!ED60"")"),0)</f>
        <v>0</v>
      </c>
      <c r="J296" s="736">
        <v>0</v>
      </c>
      <c r="K296" s="767">
        <f ca="1">IF(I296&gt;0,J296*100/I296,0)</f>
        <v>0</v>
      </c>
      <c r="L296" s="678"/>
      <c r="M296" s="678"/>
      <c r="N296" s="678"/>
      <c r="O296" s="678"/>
      <c r="P296" s="678"/>
    </row>
    <row r="297" spans="1:16" ht="12.75" hidden="1" x14ac:dyDescent="0.2">
      <c r="A297" s="766"/>
      <c r="B297" s="765"/>
      <c r="C297" s="765"/>
      <c r="D297" s="764"/>
      <c r="E297" s="764"/>
      <c r="F297" s="764"/>
      <c r="G297" s="763"/>
      <c r="H297" s="762"/>
      <c r="I297" s="761"/>
      <c r="J297" s="761"/>
      <c r="K297" s="760"/>
      <c r="L297" s="760"/>
      <c r="M297" s="760"/>
      <c r="N297" s="760"/>
      <c r="O297" s="760"/>
      <c r="P297" s="760"/>
    </row>
    <row r="298" spans="1:16" ht="12.75" hidden="1" x14ac:dyDescent="0.2">
      <c r="A298" s="766"/>
      <c r="B298" s="765"/>
      <c r="C298" s="765"/>
      <c r="D298" s="764"/>
      <c r="E298" s="764"/>
      <c r="F298" s="764"/>
      <c r="G298" s="763"/>
      <c r="H298" s="762"/>
      <c r="I298" s="761"/>
      <c r="J298" s="761"/>
      <c r="K298" s="760"/>
      <c r="L298" s="760"/>
      <c r="M298" s="760"/>
      <c r="N298" s="760"/>
      <c r="O298" s="760"/>
      <c r="P298" s="760"/>
    </row>
    <row r="299" spans="1:16" ht="12.75" hidden="1" x14ac:dyDescent="0.2">
      <c r="A299" s="759"/>
      <c r="B299" s="758"/>
      <c r="C299" s="758"/>
      <c r="D299" s="757"/>
      <c r="E299" s="757"/>
      <c r="F299" s="757"/>
      <c r="G299" s="756"/>
      <c r="H299" s="755"/>
      <c r="I299" s="754"/>
      <c r="J299" s="754"/>
      <c r="K299" s="753"/>
      <c r="L299" s="753"/>
      <c r="M299" s="753"/>
      <c r="N299" s="753"/>
      <c r="O299" s="753"/>
      <c r="P299" s="753"/>
    </row>
    <row r="300" spans="1:16" ht="19.5" x14ac:dyDescent="0.3">
      <c r="A300" s="752" t="s">
        <v>118</v>
      </c>
      <c r="B300" s="750"/>
      <c r="C300" s="750"/>
      <c r="D300" s="750"/>
      <c r="E300" s="751"/>
      <c r="F300" s="751"/>
      <c r="G300" s="751"/>
      <c r="H300" s="750"/>
      <c r="I300" s="749"/>
      <c r="J300" s="749"/>
      <c r="K300" s="748"/>
      <c r="L300" s="748"/>
      <c r="M300" s="748"/>
      <c r="N300" s="748"/>
      <c r="O300" s="748"/>
      <c r="P300" s="747"/>
    </row>
    <row r="301" spans="1:16" ht="19.5" hidden="1" x14ac:dyDescent="0.3">
      <c r="A301" s="735" t="s">
        <v>119</v>
      </c>
      <c r="B301" s="733"/>
      <c r="C301" s="733"/>
      <c r="D301" s="734"/>
      <c r="E301" s="734"/>
      <c r="F301" s="734"/>
      <c r="G301" s="746"/>
      <c r="H301" s="745"/>
      <c r="I301" s="732"/>
      <c r="J301" s="732"/>
      <c r="K301" s="731"/>
      <c r="L301" s="731"/>
      <c r="M301" s="731"/>
      <c r="N301" s="731"/>
      <c r="O301" s="731"/>
      <c r="P301" s="731"/>
    </row>
    <row r="302" spans="1:16" ht="19.5" hidden="1" x14ac:dyDescent="0.3">
      <c r="A302" s="726"/>
      <c r="B302" s="725" t="s">
        <v>120</v>
      </c>
      <c r="C302" s="723"/>
      <c r="D302" s="723"/>
      <c r="E302" s="723"/>
      <c r="F302" s="723"/>
      <c r="G302" s="722"/>
      <c r="H302" s="730" t="s">
        <v>33</v>
      </c>
      <c r="I302" s="739">
        <f ca="1">I314</f>
        <v>0</v>
      </c>
      <c r="J302" s="739">
        <f>J314</f>
        <v>0</v>
      </c>
      <c r="K302" s="738">
        <f ca="1">IF(I302&gt;0,J302*100/I302,0)</f>
        <v>0</v>
      </c>
      <c r="L302" s="719"/>
      <c r="M302" s="719"/>
      <c r="N302" s="719"/>
      <c r="O302" s="719"/>
      <c r="P302" s="719"/>
    </row>
    <row r="303" spans="1:16" ht="19.5" hidden="1" x14ac:dyDescent="0.3">
      <c r="A303" s="684"/>
      <c r="B303" s="420"/>
      <c r="C303" s="718" t="s">
        <v>16</v>
      </c>
      <c r="D303" s="717" t="s">
        <v>17</v>
      </c>
      <c r="E303" s="420"/>
      <c r="F303" s="420"/>
      <c r="G303" s="424"/>
      <c r="H303" s="716" t="s">
        <v>12</v>
      </c>
      <c r="I303" s="429"/>
      <c r="J303" s="429"/>
      <c r="K303" s="430"/>
      <c r="L303" s="715">
        <f ca="1">L304+L305</f>
        <v>0</v>
      </c>
      <c r="M303" s="715">
        <f ca="1">M304+M305</f>
        <v>0</v>
      </c>
      <c r="N303" s="715">
        <f ca="1">N304+N305</f>
        <v>0</v>
      </c>
      <c r="O303" s="715">
        <f t="shared" ref="O303:O311" ca="1" si="39">IF(L303&gt;0,N303*100/L303,0)</f>
        <v>0</v>
      </c>
      <c r="P303" s="715">
        <f t="shared" ref="P303:P311" ca="1" si="40">IF(M303&gt;0,N303*100/M303,0)</f>
        <v>0</v>
      </c>
    </row>
    <row r="304" spans="1:16" ht="18.75" hidden="1" x14ac:dyDescent="0.25">
      <c r="A304" s="684"/>
      <c r="B304" s="420"/>
      <c r="C304" s="420"/>
      <c r="D304" s="420"/>
      <c r="E304" s="520" t="s">
        <v>18</v>
      </c>
      <c r="F304" s="420"/>
      <c r="G304" s="424"/>
      <c r="H304" s="524" t="s">
        <v>12</v>
      </c>
      <c r="I304" s="429"/>
      <c r="J304" s="429"/>
      <c r="K304" s="430"/>
      <c r="L304" s="502">
        <f t="shared" ref="L304:N305" si="41">L307+L310</f>
        <v>0</v>
      </c>
      <c r="M304" s="502">
        <f t="shared" si="41"/>
        <v>0</v>
      </c>
      <c r="N304" s="502">
        <f t="shared" si="41"/>
        <v>0</v>
      </c>
      <c r="O304" s="502">
        <f t="shared" si="39"/>
        <v>0</v>
      </c>
      <c r="P304" s="502">
        <f t="shared" si="40"/>
        <v>0</v>
      </c>
    </row>
    <row r="305" spans="1:16" ht="18.75" hidden="1" x14ac:dyDescent="0.25">
      <c r="A305" s="684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t="shared" ca="1" si="41"/>
        <v>0</v>
      </c>
      <c r="M305" s="427">
        <f t="shared" ca="1" si="41"/>
        <v>0</v>
      </c>
      <c r="N305" s="427">
        <f t="shared" ca="1" si="41"/>
        <v>0</v>
      </c>
      <c r="O305" s="427">
        <f t="shared" ca="1" si="39"/>
        <v>0</v>
      </c>
      <c r="P305" s="427">
        <f t="shared" ca="1" si="40"/>
        <v>0</v>
      </c>
    </row>
    <row r="306" spans="1:16" ht="18.75" hidden="1" x14ac:dyDescent="0.25">
      <c r="A306" s="684"/>
      <c r="B306" s="421"/>
      <c r="C306" s="420"/>
      <c r="D306" s="713" t="s">
        <v>20</v>
      </c>
      <c r="E306" s="420"/>
      <c r="F306" s="420"/>
      <c r="G306" s="424"/>
      <c r="H306" s="714" t="s">
        <v>12</v>
      </c>
      <c r="I306" s="679"/>
      <c r="J306" s="679"/>
      <c r="K306" s="678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t="shared" ca="1" si="39"/>
        <v>0</v>
      </c>
      <c r="P306" s="427">
        <f t="shared" ca="1" si="40"/>
        <v>0</v>
      </c>
    </row>
    <row r="307" spans="1:16" ht="18.75" hidden="1" x14ac:dyDescent="0.25">
      <c r="A307" s="684"/>
      <c r="B307" s="421"/>
      <c r="C307" s="421"/>
      <c r="D307" s="420"/>
      <c r="E307" s="520" t="s">
        <v>34</v>
      </c>
      <c r="F307" s="420"/>
      <c r="G307" s="424"/>
      <c r="H307" s="522" t="s">
        <v>12</v>
      </c>
      <c r="I307" s="679"/>
      <c r="J307" s="679"/>
      <c r="K307" s="678"/>
      <c r="L307" s="502">
        <v>0</v>
      </c>
      <c r="M307" s="502">
        <v>0</v>
      </c>
      <c r="N307" s="502">
        <v>0</v>
      </c>
      <c r="O307" s="502">
        <f t="shared" si="39"/>
        <v>0</v>
      </c>
      <c r="P307" s="502">
        <f t="shared" si="40"/>
        <v>0</v>
      </c>
    </row>
    <row r="308" spans="1:16" ht="18.75" hidden="1" x14ac:dyDescent="0.25">
      <c r="A308" s="684"/>
      <c r="B308" s="421"/>
      <c r="C308" s="421"/>
      <c r="D308" s="420"/>
      <c r="E308" s="295" t="s">
        <v>35</v>
      </c>
      <c r="F308" s="420"/>
      <c r="G308" s="424"/>
      <c r="H308" s="714" t="s">
        <v>12</v>
      </c>
      <c r="I308" s="679"/>
      <c r="J308" s="679"/>
      <c r="K308" s="678"/>
      <c r="L308" s="427">
        <f ca="1">IFERROR(__xludf.DUMMYFUNCTION("IMPORTRANGE(""https://docs.google.com/spreadsheets/d/1-uDff_7J0KD5mKrp0Vvzr7lt3OU09vwQwhkpOPPYv2Y/edit?usp=sharing"",""งบพรบ!DY60"")"),0)</f>
        <v>0</v>
      </c>
      <c r="M308" s="427">
        <f ca="1">IFERROR(__xludf.DUMMYFUNCTION("IMPORTRANGE(""https://docs.google.com/spreadsheets/d/1-uDff_7J0KD5mKrp0Vvzr7lt3OU09vwQwhkpOPPYv2Y/edit?usp=sharing"",""งบพรบ!ED60"")"),0)</f>
        <v>0</v>
      </c>
      <c r="N308" s="427">
        <f ca="1">IFERROR(__xludf.DUMMYFUNCTION("IMPORTRANGE(""https://docs.google.com/spreadsheets/d/1-uDff_7J0KD5mKrp0Vvzr7lt3OU09vwQwhkpOPPYv2Y/edit?usp=sharing"",""งบพรบ!EF60"")"),0)</f>
        <v>0</v>
      </c>
      <c r="O308" s="427">
        <f t="shared" ca="1" si="39"/>
        <v>0</v>
      </c>
      <c r="P308" s="427">
        <f t="shared" ca="1" si="40"/>
        <v>0</v>
      </c>
    </row>
    <row r="309" spans="1:16" ht="18.75" hidden="1" x14ac:dyDescent="0.25">
      <c r="A309" s="684"/>
      <c r="B309" s="421"/>
      <c r="C309" s="421"/>
      <c r="D309" s="713" t="s">
        <v>21</v>
      </c>
      <c r="E309" s="420"/>
      <c r="F309" s="420"/>
      <c r="G309" s="424"/>
      <c r="H309" s="705" t="s">
        <v>12</v>
      </c>
      <c r="I309" s="679"/>
      <c r="J309" s="679"/>
      <c r="K309" s="678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t="shared" ca="1" si="39"/>
        <v>0</v>
      </c>
      <c r="P309" s="427">
        <f t="shared" ca="1" si="40"/>
        <v>0</v>
      </c>
    </row>
    <row r="310" spans="1:16" ht="18.75" hidden="1" x14ac:dyDescent="0.25">
      <c r="A310" s="684"/>
      <c r="B310" s="421"/>
      <c r="C310" s="421"/>
      <c r="D310" s="420"/>
      <c r="E310" s="520" t="s">
        <v>18</v>
      </c>
      <c r="F310" s="420"/>
      <c r="G310" s="424"/>
      <c r="H310" s="522" t="s">
        <v>12</v>
      </c>
      <c r="I310" s="679"/>
      <c r="J310" s="679"/>
      <c r="K310" s="678"/>
      <c r="L310" s="502">
        <v>0</v>
      </c>
      <c r="M310" s="502">
        <v>0</v>
      </c>
      <c r="N310" s="502">
        <v>0</v>
      </c>
      <c r="O310" s="502">
        <f t="shared" si="39"/>
        <v>0</v>
      </c>
      <c r="P310" s="502">
        <f t="shared" si="40"/>
        <v>0</v>
      </c>
    </row>
    <row r="311" spans="1:16" ht="18.75" hidden="1" x14ac:dyDescent="0.25">
      <c r="A311" s="684"/>
      <c r="B311" s="421"/>
      <c r="C311" s="421"/>
      <c r="D311" s="420"/>
      <c r="E311" s="295" t="s">
        <v>19</v>
      </c>
      <c r="F311" s="420"/>
      <c r="G311" s="424"/>
      <c r="H311" s="705" t="s">
        <v>12</v>
      </c>
      <c r="I311" s="679"/>
      <c r="J311" s="679"/>
      <c r="K311" s="678"/>
      <c r="L311" s="427">
        <f ca="1">IFERROR(__xludf.DUMMYFUNCTION("IMPORTRANGE(""https://docs.google.com/spreadsheets/d/1-uDff_7J0KD5mKrp0Vvzr7lt3OU09vwQwhkpOPPYv2Y/edit?usp=sharing"",""งบพรบ!EB60"")"),0)</f>
        <v>0</v>
      </c>
      <c r="M311" s="427">
        <f ca="1">IFERROR(__xludf.DUMMYFUNCTION("IMPORTRANGE(""https://docs.google.com/spreadsheets/d/1-uDff_7J0KD5mKrp0Vvzr7lt3OU09vwQwhkpOPPYv2Y/edit?usp=sharing"",""งบพรบ!EE60"")"),0)</f>
        <v>0</v>
      </c>
      <c r="N311" s="427">
        <f ca="1">IFERROR(__xludf.DUMMYFUNCTION("IMPORTRANGE(""https://docs.google.com/spreadsheets/d/1-uDff_7J0KD5mKrp0Vvzr7lt3OU09vwQwhkpOPPYv2Y/edit?usp=sharing"",""งบพรบ!EG60"")"),0)</f>
        <v>0</v>
      </c>
      <c r="O311" s="427">
        <f t="shared" ca="1" si="39"/>
        <v>0</v>
      </c>
      <c r="P311" s="427">
        <f t="shared" ca="1" si="40"/>
        <v>0</v>
      </c>
    </row>
    <row r="312" spans="1:16" ht="19.5" hidden="1" x14ac:dyDescent="0.3">
      <c r="A312" s="683"/>
      <c r="B312" s="432"/>
      <c r="C312" s="711" t="s">
        <v>16</v>
      </c>
      <c r="D312" s="737" t="s">
        <v>36</v>
      </c>
      <c r="E312" s="744"/>
      <c r="F312" s="744"/>
      <c r="G312" s="743"/>
      <c r="H312" s="680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683"/>
      <c r="B313" s="432"/>
      <c r="C313" s="432"/>
      <c r="D313" s="742" t="s">
        <v>121</v>
      </c>
      <c r="E313" s="422"/>
      <c r="F313" s="422"/>
      <c r="G313" s="680"/>
      <c r="H313" s="680"/>
      <c r="I313" s="429"/>
      <c r="J313" s="736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683"/>
      <c r="B314" s="432"/>
      <c r="C314" s="432"/>
      <c r="D314" s="423" t="s">
        <v>114</v>
      </c>
      <c r="E314" s="422"/>
      <c r="F314" s="422"/>
      <c r="G314" s="680"/>
      <c r="H314" s="705" t="s">
        <v>33</v>
      </c>
      <c r="I314" s="426">
        <f ca="1">IFERROR(__xludf.DUMMYFUNCTION("IMPORTRANGE(""https://docs.google.com/spreadsheets/d/1eHaY18a8A9IcSdp1K8H6x8fbOy06t2VsZHhMHf-1x7Y/edit?usp=sharing"",""แผน!EF60"")"),0)</f>
        <v>0</v>
      </c>
      <c r="J314" s="736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683"/>
      <c r="B315" s="432"/>
      <c r="C315" s="432"/>
      <c r="D315" s="423" t="s">
        <v>122</v>
      </c>
      <c r="E315" s="422"/>
      <c r="F315" s="422"/>
      <c r="G315" s="680"/>
      <c r="H315" s="705" t="s">
        <v>33</v>
      </c>
      <c r="I315" s="426">
        <f ca="1">IFERROR(__xludf.DUMMYFUNCTION("IMPORTRANGE(""https://docs.google.com/spreadsheets/d/1eHaY18a8A9IcSdp1K8H6x8fbOy06t2VsZHhMHf-1x7Y/edit?usp=sharing"",""แผน!EG60"")"),0)</f>
        <v>0</v>
      </c>
      <c r="J315" s="736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683"/>
      <c r="B316" s="432"/>
      <c r="C316" s="432"/>
      <c r="D316" s="423" t="s">
        <v>48</v>
      </c>
      <c r="E316" s="422"/>
      <c r="F316" s="422"/>
      <c r="G316" s="680"/>
      <c r="H316" s="705" t="s">
        <v>33</v>
      </c>
      <c r="I316" s="426">
        <f ca="1">IFERROR(__xludf.DUMMYFUNCTION("IMPORTRANGE(""https://docs.google.com/spreadsheets/d/1eHaY18a8A9IcSdp1K8H6x8fbOy06t2VsZHhMHf-1x7Y/edit?usp=sharing"",""แผน!EH60"")"),0)</f>
        <v>0</v>
      </c>
      <c r="J316" s="736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20" t="s">
        <v>123</v>
      </c>
      <c r="E317" s="420"/>
      <c r="F317" s="420"/>
      <c r="G317" s="424"/>
      <c r="H317" s="524" t="s">
        <v>33</v>
      </c>
      <c r="I317" s="201">
        <f ca="1">IFERROR(__xludf.DUMMYFUNCTION("IMPORTRANGE(""https://docs.google.com/spreadsheets/d/1eHaY18a8A9IcSdp1K8H6x8fbOy06t2VsZHhMHf-1x7Y/edit?usp=sharing"",""แผน!EI60"")"),0)</f>
        <v>0</v>
      </c>
      <c r="J317" s="201">
        <v>0</v>
      </c>
      <c r="K317" s="50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35" t="s">
        <v>124</v>
      </c>
      <c r="B318" s="733"/>
      <c r="C318" s="733"/>
      <c r="D318" s="734"/>
      <c r="E318" s="733"/>
      <c r="F318" s="733"/>
      <c r="G318" s="733"/>
      <c r="H318" s="733"/>
      <c r="I318" s="732"/>
      <c r="J318" s="732"/>
      <c r="K318" s="731"/>
      <c r="L318" s="731"/>
      <c r="M318" s="731"/>
      <c r="N318" s="731"/>
      <c r="O318" s="731"/>
      <c r="P318" s="731"/>
    </row>
    <row r="319" spans="1:16" ht="19.5" hidden="1" x14ac:dyDescent="0.3">
      <c r="A319" s="741"/>
      <c r="B319" s="725" t="s">
        <v>125</v>
      </c>
      <c r="C319" s="740"/>
      <c r="D319" s="724"/>
      <c r="E319" s="723"/>
      <c r="F319" s="723"/>
      <c r="G319" s="722"/>
      <c r="H319" s="730" t="s">
        <v>126</v>
      </c>
      <c r="I319" s="739">
        <f ca="1">I330</f>
        <v>0</v>
      </c>
      <c r="J319" s="739">
        <f>J330</f>
        <v>0</v>
      </c>
      <c r="K319" s="738">
        <f ca="1">IF(I319&gt;0,J319*100/I319,0)</f>
        <v>0</v>
      </c>
      <c r="L319" s="719"/>
      <c r="M319" s="719"/>
      <c r="N319" s="719"/>
      <c r="O319" s="719"/>
      <c r="P319" s="719"/>
    </row>
    <row r="320" spans="1:16" ht="19.5" hidden="1" x14ac:dyDescent="0.3">
      <c r="A320" s="684"/>
      <c r="B320" s="420"/>
      <c r="C320" s="718" t="s">
        <v>16</v>
      </c>
      <c r="D320" s="717" t="s">
        <v>17</v>
      </c>
      <c r="E320" s="420"/>
      <c r="F320" s="420"/>
      <c r="G320" s="424"/>
      <c r="H320" s="716" t="s">
        <v>12</v>
      </c>
      <c r="I320" s="429"/>
      <c r="J320" s="429"/>
      <c r="K320" s="430"/>
      <c r="L320" s="715">
        <f ca="1">L321+L322</f>
        <v>0</v>
      </c>
      <c r="M320" s="715">
        <f ca="1">M321+M322</f>
        <v>0</v>
      </c>
      <c r="N320" s="715">
        <f ca="1">N321+N322</f>
        <v>0</v>
      </c>
      <c r="O320" s="715">
        <f t="shared" ref="O320:O328" ca="1" si="42">IF(L320&gt;0,N320*100/L320,0)</f>
        <v>0</v>
      </c>
      <c r="P320" s="715">
        <f t="shared" ref="P320:P328" ca="1" si="43">IF(M320&gt;0,N320*100/M320,0)</f>
        <v>0</v>
      </c>
    </row>
    <row r="321" spans="1:16" ht="18.75" hidden="1" x14ac:dyDescent="0.25">
      <c r="A321" s="684"/>
      <c r="B321" s="420"/>
      <c r="C321" s="420"/>
      <c r="D321" s="420"/>
      <c r="E321" s="520" t="s">
        <v>18</v>
      </c>
      <c r="F321" s="420"/>
      <c r="G321" s="424"/>
      <c r="H321" s="524" t="s">
        <v>12</v>
      </c>
      <c r="I321" s="429"/>
      <c r="J321" s="429"/>
      <c r="K321" s="430"/>
      <c r="L321" s="502">
        <f t="shared" ref="L321:N322" si="44">L324+L327</f>
        <v>0</v>
      </c>
      <c r="M321" s="502">
        <f t="shared" si="44"/>
        <v>0</v>
      </c>
      <c r="N321" s="502">
        <f t="shared" si="44"/>
        <v>0</v>
      </c>
      <c r="O321" s="502">
        <f t="shared" si="42"/>
        <v>0</v>
      </c>
      <c r="P321" s="502">
        <f t="shared" si="43"/>
        <v>0</v>
      </c>
    </row>
    <row r="322" spans="1:16" ht="18.75" hidden="1" x14ac:dyDescent="0.25">
      <c r="A322" s="684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t="shared" ca="1" si="44"/>
        <v>0</v>
      </c>
      <c r="M322" s="427">
        <f t="shared" ca="1" si="44"/>
        <v>0</v>
      </c>
      <c r="N322" s="427">
        <f t="shared" ca="1" si="44"/>
        <v>0</v>
      </c>
      <c r="O322" s="427">
        <f t="shared" ca="1" si="42"/>
        <v>0</v>
      </c>
      <c r="P322" s="427">
        <f t="shared" ca="1" si="43"/>
        <v>0</v>
      </c>
    </row>
    <row r="323" spans="1:16" ht="18.75" hidden="1" x14ac:dyDescent="0.25">
      <c r="A323" s="684"/>
      <c r="B323" s="421"/>
      <c r="C323" s="420"/>
      <c r="D323" s="713" t="s">
        <v>20</v>
      </c>
      <c r="E323" s="420"/>
      <c r="F323" s="420"/>
      <c r="G323" s="424"/>
      <c r="H323" s="714" t="s">
        <v>12</v>
      </c>
      <c r="I323" s="679"/>
      <c r="J323" s="679"/>
      <c r="K323" s="678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t="shared" ca="1" si="42"/>
        <v>0</v>
      </c>
      <c r="P323" s="427">
        <f t="shared" ca="1" si="43"/>
        <v>0</v>
      </c>
    </row>
    <row r="324" spans="1:16" ht="18.75" hidden="1" x14ac:dyDescent="0.25">
      <c r="A324" s="684"/>
      <c r="B324" s="421"/>
      <c r="C324" s="421"/>
      <c r="D324" s="420"/>
      <c r="E324" s="520" t="s">
        <v>34</v>
      </c>
      <c r="F324" s="420"/>
      <c r="G324" s="424"/>
      <c r="H324" s="522" t="s">
        <v>12</v>
      </c>
      <c r="I324" s="679"/>
      <c r="J324" s="679"/>
      <c r="K324" s="678"/>
      <c r="L324" s="502">
        <v>0</v>
      </c>
      <c r="M324" s="502">
        <v>0</v>
      </c>
      <c r="N324" s="502">
        <v>0</v>
      </c>
      <c r="O324" s="502">
        <f t="shared" si="42"/>
        <v>0</v>
      </c>
      <c r="P324" s="502">
        <f t="shared" si="43"/>
        <v>0</v>
      </c>
    </row>
    <row r="325" spans="1:16" ht="18.75" hidden="1" x14ac:dyDescent="0.25">
      <c r="A325" s="684"/>
      <c r="B325" s="421"/>
      <c r="C325" s="421"/>
      <c r="D325" s="420"/>
      <c r="E325" s="729" t="s">
        <v>35</v>
      </c>
      <c r="F325" s="421"/>
      <c r="G325" s="428"/>
      <c r="H325" s="714" t="s">
        <v>12</v>
      </c>
      <c r="I325" s="679"/>
      <c r="J325" s="679"/>
      <c r="K325" s="678"/>
      <c r="L325" s="427">
        <f ca="1">IFERROR(__xludf.DUMMYFUNCTION("IMPORTRANGE(""https://docs.google.com/spreadsheets/d/1-uDff_7J0KD5mKrp0Vvzr7lt3OU09vwQwhkpOPPYv2Y/edit?usp=sharing"",""งบพรบ!EI60"")"),0)</f>
        <v>0</v>
      </c>
      <c r="M325" s="427">
        <f ca="1">IFERROR(__xludf.DUMMYFUNCTION("IMPORTRANGE(""https://docs.google.com/spreadsheets/d/1-uDff_7J0KD5mKrp0Vvzr7lt3OU09vwQwhkpOPPYv2Y/edit?usp=sharing"",""งบพรบ!EN60"")"),0)</f>
        <v>0</v>
      </c>
      <c r="N325" s="427">
        <f ca="1">IFERROR(__xludf.DUMMYFUNCTION("IMPORTRANGE(""https://docs.google.com/spreadsheets/d/1-uDff_7J0KD5mKrp0Vvzr7lt3OU09vwQwhkpOPPYv2Y/edit?usp=sharing"",""งบพรบ!EP60"")"),0)</f>
        <v>0</v>
      </c>
      <c r="O325" s="427">
        <f t="shared" ca="1" si="42"/>
        <v>0</v>
      </c>
      <c r="P325" s="427">
        <f t="shared" ca="1" si="43"/>
        <v>0</v>
      </c>
    </row>
    <row r="326" spans="1:16" ht="18.75" hidden="1" x14ac:dyDescent="0.25">
      <c r="A326" s="684"/>
      <c r="B326" s="420"/>
      <c r="C326" s="421"/>
      <c r="D326" s="713" t="s">
        <v>21</v>
      </c>
      <c r="E326" s="420"/>
      <c r="F326" s="420"/>
      <c r="G326" s="424"/>
      <c r="H326" s="705" t="s">
        <v>12</v>
      </c>
      <c r="I326" s="679"/>
      <c r="J326" s="679"/>
      <c r="K326" s="678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t="shared" ca="1" si="42"/>
        <v>0</v>
      </c>
      <c r="P326" s="427">
        <f t="shared" ca="1" si="43"/>
        <v>0</v>
      </c>
    </row>
    <row r="327" spans="1:16" ht="18.75" hidden="1" x14ac:dyDescent="0.25">
      <c r="A327" s="684"/>
      <c r="B327" s="420"/>
      <c r="C327" s="420"/>
      <c r="D327" s="420"/>
      <c r="E327" s="520" t="s">
        <v>18</v>
      </c>
      <c r="F327" s="420"/>
      <c r="G327" s="424"/>
      <c r="H327" s="522" t="s">
        <v>12</v>
      </c>
      <c r="I327" s="679"/>
      <c r="J327" s="679"/>
      <c r="K327" s="678"/>
      <c r="L327" s="502">
        <v>0</v>
      </c>
      <c r="M327" s="502">
        <v>0</v>
      </c>
      <c r="N327" s="502">
        <v>0</v>
      </c>
      <c r="O327" s="502">
        <f t="shared" si="42"/>
        <v>0</v>
      </c>
      <c r="P327" s="502">
        <f t="shared" si="43"/>
        <v>0</v>
      </c>
    </row>
    <row r="328" spans="1:16" ht="18.75" hidden="1" x14ac:dyDescent="0.25">
      <c r="A328" s="684"/>
      <c r="B328" s="420"/>
      <c r="C328" s="420"/>
      <c r="D328" s="420"/>
      <c r="E328" s="295" t="s">
        <v>19</v>
      </c>
      <c r="F328" s="420"/>
      <c r="G328" s="424"/>
      <c r="H328" s="705" t="s">
        <v>12</v>
      </c>
      <c r="I328" s="679"/>
      <c r="J328" s="679"/>
      <c r="K328" s="678"/>
      <c r="L328" s="427">
        <f ca="1">IFERROR(__xludf.DUMMYFUNCTION("IMPORTRANGE(""https://docs.google.com/spreadsheets/d/1-uDff_7J0KD5mKrp0Vvzr7lt3OU09vwQwhkpOPPYv2Y/edit?usp=sharing"",""งบพรบ!EL60"")"),0)</f>
        <v>0</v>
      </c>
      <c r="M328" s="427">
        <f ca="1">IFERROR(__xludf.DUMMYFUNCTION("IMPORTRANGE(""https://docs.google.com/spreadsheets/d/1-uDff_7J0KD5mKrp0Vvzr7lt3OU09vwQwhkpOPPYv2Y/edit?usp=sharing"",""งบพรบ!EO60"")"),0)</f>
        <v>0</v>
      </c>
      <c r="N328" s="427">
        <f ca="1">IFERROR(__xludf.DUMMYFUNCTION("IMPORTRANGE(""https://docs.google.com/spreadsheets/d/1-uDff_7J0KD5mKrp0Vvzr7lt3OU09vwQwhkpOPPYv2Y/edit?usp=sharing"",""งบพรบ!EQ60"")"),0)</f>
        <v>0</v>
      </c>
      <c r="O328" s="427">
        <f t="shared" ca="1" si="42"/>
        <v>0</v>
      </c>
      <c r="P328" s="427">
        <f t="shared" ca="1" si="43"/>
        <v>0</v>
      </c>
    </row>
    <row r="329" spans="1:16" ht="19.5" hidden="1" x14ac:dyDescent="0.3">
      <c r="A329" s="683"/>
      <c r="B329" s="432"/>
      <c r="C329" s="718" t="s">
        <v>16</v>
      </c>
      <c r="D329" s="737" t="s">
        <v>36</v>
      </c>
      <c r="E329" s="682"/>
      <c r="F329" s="682"/>
      <c r="G329" s="681"/>
      <c r="H329" s="708"/>
      <c r="I329" s="679"/>
      <c r="J329" s="429"/>
      <c r="K329" s="430"/>
      <c r="L329" s="430"/>
      <c r="M329" s="430"/>
      <c r="N329" s="430"/>
      <c r="O329" s="678"/>
      <c r="P329" s="678"/>
    </row>
    <row r="330" spans="1:16" ht="18.75" hidden="1" x14ac:dyDescent="0.25">
      <c r="A330" s="683"/>
      <c r="B330" s="432"/>
      <c r="C330" s="432"/>
      <c r="D330" s="706" t="s">
        <v>127</v>
      </c>
      <c r="E330" s="422"/>
      <c r="F330" s="422"/>
      <c r="G330" s="680"/>
      <c r="H330" s="442" t="s">
        <v>126</v>
      </c>
      <c r="I330" s="426">
        <f ca="1">IFERROR(__xludf.DUMMYFUNCTION("IMPORTRANGE(""https://docs.google.com/spreadsheets/d/1eHaY18a8A9IcSdp1K8H6x8fbOy06t2VsZHhMHf-1x7Y/edit?usp=sharing"",""แผน!EJ60"")"),0)</f>
        <v>0</v>
      </c>
      <c r="J330" s="736">
        <v>0</v>
      </c>
      <c r="K330" s="427">
        <f ca="1">IF(I330&gt;0,J330*100/I330,0)</f>
        <v>0</v>
      </c>
      <c r="L330" s="430"/>
      <c r="M330" s="430"/>
      <c r="N330" s="430"/>
      <c r="O330" s="678"/>
      <c r="P330" s="678"/>
    </row>
    <row r="331" spans="1:16" ht="19.5" x14ac:dyDescent="0.3">
      <c r="A331" s="735" t="s">
        <v>128</v>
      </c>
      <c r="B331" s="733"/>
      <c r="C331" s="733"/>
      <c r="D331" s="734"/>
      <c r="E331" s="733"/>
      <c r="F331" s="733"/>
      <c r="G331" s="733"/>
      <c r="H331" s="733"/>
      <c r="I331" s="732"/>
      <c r="J331" s="732"/>
      <c r="K331" s="731"/>
      <c r="L331" s="731"/>
      <c r="M331" s="731"/>
      <c r="N331" s="731"/>
      <c r="O331" s="731"/>
      <c r="P331" s="731"/>
    </row>
    <row r="332" spans="1:16" ht="19.5" x14ac:dyDescent="0.3">
      <c r="A332" s="726"/>
      <c r="B332" s="725" t="s">
        <v>129</v>
      </c>
      <c r="C332" s="724"/>
      <c r="D332" s="723"/>
      <c r="E332" s="723"/>
      <c r="F332" s="723"/>
      <c r="G332" s="722"/>
      <c r="H332" s="730" t="s">
        <v>33</v>
      </c>
      <c r="I332" s="403">
        <f ca="1">I344</f>
        <v>140</v>
      </c>
      <c r="J332" s="404">
        <f ca="1">J344+J347+J348+J349+J353</f>
        <v>185</v>
      </c>
      <c r="K332" s="405">
        <f ca="1">IF(I332&gt;0,J332*100/I332,0)</f>
        <v>132.14285714285714</v>
      </c>
      <c r="L332" s="719"/>
      <c r="M332" s="719"/>
      <c r="N332" s="719"/>
      <c r="O332" s="719"/>
      <c r="P332" s="719"/>
    </row>
    <row r="333" spans="1:16" ht="19.5" x14ac:dyDescent="0.3">
      <c r="A333" s="684"/>
      <c r="B333" s="420"/>
      <c r="C333" s="718" t="s">
        <v>16</v>
      </c>
      <c r="D333" s="717" t="s">
        <v>17</v>
      </c>
      <c r="E333" s="420"/>
      <c r="F333" s="420"/>
      <c r="G333" s="424"/>
      <c r="H333" s="716" t="s">
        <v>12</v>
      </c>
      <c r="I333" s="429"/>
      <c r="J333" s="429"/>
      <c r="K333" s="430"/>
      <c r="L333" s="715">
        <f ca="1">L334+L335</f>
        <v>283100</v>
      </c>
      <c r="M333" s="715">
        <f ca="1">M334+M335</f>
        <v>205850</v>
      </c>
      <c r="N333" s="715">
        <f ca="1">N334+N335</f>
        <v>57568</v>
      </c>
      <c r="O333" s="715">
        <f t="shared" ref="O333:O341" ca="1" si="45">IF(L333&gt;0,N333*100/L333,0)</f>
        <v>20.334864005651713</v>
      </c>
      <c r="P333" s="715">
        <f t="shared" ref="P333:P341" ca="1" si="46">IF(M333&gt;0,N333*100/M333,0)</f>
        <v>27.965994656303135</v>
      </c>
    </row>
    <row r="334" spans="1:16" ht="18.75" hidden="1" x14ac:dyDescent="0.25">
      <c r="A334" s="684"/>
      <c r="B334" s="420"/>
      <c r="C334" s="420"/>
      <c r="D334" s="420"/>
      <c r="E334" s="520" t="s">
        <v>18</v>
      </c>
      <c r="F334" s="420"/>
      <c r="G334" s="424"/>
      <c r="H334" s="524" t="s">
        <v>12</v>
      </c>
      <c r="I334" s="429"/>
      <c r="J334" s="429"/>
      <c r="K334" s="430"/>
      <c r="L334" s="502">
        <f t="shared" ref="L334:N335" si="47">L337+L340</f>
        <v>0</v>
      </c>
      <c r="M334" s="502">
        <f t="shared" si="47"/>
        <v>0</v>
      </c>
      <c r="N334" s="502">
        <f t="shared" si="47"/>
        <v>0</v>
      </c>
      <c r="O334" s="502">
        <f t="shared" si="45"/>
        <v>0</v>
      </c>
      <c r="P334" s="502">
        <f t="shared" si="46"/>
        <v>0</v>
      </c>
    </row>
    <row r="335" spans="1:16" ht="18.75" x14ac:dyDescent="0.25">
      <c r="A335" s="684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t="shared" ca="1" si="47"/>
        <v>283100</v>
      </c>
      <c r="M335" s="427">
        <f t="shared" ca="1" si="47"/>
        <v>205850</v>
      </c>
      <c r="N335" s="427">
        <f t="shared" ca="1" si="47"/>
        <v>57568</v>
      </c>
      <c r="O335" s="427">
        <f t="shared" ca="1" si="45"/>
        <v>20.334864005651713</v>
      </c>
      <c r="P335" s="427">
        <f t="shared" ca="1" si="46"/>
        <v>27.965994656303135</v>
      </c>
    </row>
    <row r="336" spans="1:16" ht="18.75" x14ac:dyDescent="0.25">
      <c r="A336" s="684"/>
      <c r="B336" s="421"/>
      <c r="C336" s="420"/>
      <c r="D336" s="713" t="s">
        <v>20</v>
      </c>
      <c r="E336" s="420"/>
      <c r="F336" s="420"/>
      <c r="G336" s="424"/>
      <c r="H336" s="714" t="s">
        <v>12</v>
      </c>
      <c r="I336" s="679"/>
      <c r="J336" s="679"/>
      <c r="K336" s="678"/>
      <c r="L336" s="427">
        <f ca="1">L337+L338</f>
        <v>283100</v>
      </c>
      <c r="M336" s="427">
        <f ca="1">M337+M338</f>
        <v>205850</v>
      </c>
      <c r="N336" s="427">
        <f ca="1">N337+N338</f>
        <v>57568</v>
      </c>
      <c r="O336" s="427">
        <f t="shared" ca="1" si="45"/>
        <v>20.334864005651713</v>
      </c>
      <c r="P336" s="427">
        <f t="shared" ca="1" si="46"/>
        <v>27.965994656303135</v>
      </c>
    </row>
    <row r="337" spans="1:16" ht="18.75" hidden="1" x14ac:dyDescent="0.25">
      <c r="A337" s="684"/>
      <c r="B337" s="420"/>
      <c r="C337" s="421"/>
      <c r="D337" s="420"/>
      <c r="E337" s="603" t="s">
        <v>34</v>
      </c>
      <c r="F337" s="420"/>
      <c r="G337" s="424"/>
      <c r="H337" s="522" t="s">
        <v>12</v>
      </c>
      <c r="I337" s="679"/>
      <c r="J337" s="679"/>
      <c r="K337" s="678"/>
      <c r="L337" s="502">
        <v>0</v>
      </c>
      <c r="M337" s="502">
        <v>0</v>
      </c>
      <c r="N337" s="502">
        <v>0</v>
      </c>
      <c r="O337" s="502">
        <f t="shared" si="45"/>
        <v>0</v>
      </c>
      <c r="P337" s="502">
        <f t="shared" si="46"/>
        <v>0</v>
      </c>
    </row>
    <row r="338" spans="1:16" ht="18.75" x14ac:dyDescent="0.25">
      <c r="A338" s="684"/>
      <c r="B338" s="420"/>
      <c r="C338" s="421"/>
      <c r="D338" s="420"/>
      <c r="E338" s="729" t="s">
        <v>35</v>
      </c>
      <c r="F338" s="420"/>
      <c r="G338" s="424"/>
      <c r="H338" s="714" t="s">
        <v>12</v>
      </c>
      <c r="I338" s="679"/>
      <c r="J338" s="679"/>
      <c r="K338" s="678"/>
      <c r="L338" s="427">
        <f ca="1">IFERROR(__xludf.DUMMYFUNCTION("IMPORTRANGE(""https://docs.google.com/spreadsheets/d/1-uDff_7J0KD5mKrp0Vvzr7lt3OU09vwQwhkpOPPYv2Y/edit?usp=sharing"",""งบพรบ!ES60"")"),283100)</f>
        <v>283100</v>
      </c>
      <c r="M338" s="427">
        <f ca="1">IFERROR(__xludf.DUMMYFUNCTION("IMPORTRANGE(""https://docs.google.com/spreadsheets/d/1-uDff_7J0KD5mKrp0Vvzr7lt3OU09vwQwhkpOPPYv2Y/edit?usp=sharing"",""งบพรบ!EX60"")"),205850)</f>
        <v>205850</v>
      </c>
      <c r="N338" s="427">
        <f ca="1">IFERROR(__xludf.DUMMYFUNCTION("IMPORTRANGE(""https://docs.google.com/spreadsheets/d/1-uDff_7J0KD5mKrp0Vvzr7lt3OU09vwQwhkpOPPYv2Y/edit?usp=sharing"",""งบพรบ!EZ60"")"),57568)</f>
        <v>57568</v>
      </c>
      <c r="O338" s="427">
        <f t="shared" ca="1" si="45"/>
        <v>20.334864005651713</v>
      </c>
      <c r="P338" s="427">
        <f t="shared" ca="1" si="46"/>
        <v>27.965994656303135</v>
      </c>
    </row>
    <row r="339" spans="1:16" ht="18.75" x14ac:dyDescent="0.25">
      <c r="A339" s="684"/>
      <c r="B339" s="420"/>
      <c r="C339" s="421"/>
      <c r="D339" s="713" t="s">
        <v>21</v>
      </c>
      <c r="E339" s="420"/>
      <c r="F339" s="420"/>
      <c r="G339" s="424"/>
      <c r="H339" s="705" t="s">
        <v>12</v>
      </c>
      <c r="I339" s="679"/>
      <c r="J339" s="679"/>
      <c r="K339" s="678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t="shared" ca="1" si="45"/>
        <v>0</v>
      </c>
      <c r="P339" s="427">
        <f t="shared" ca="1" si="46"/>
        <v>0</v>
      </c>
    </row>
    <row r="340" spans="1:16" ht="18.75" hidden="1" x14ac:dyDescent="0.25">
      <c r="A340" s="684"/>
      <c r="B340" s="420"/>
      <c r="C340" s="421"/>
      <c r="D340" s="420"/>
      <c r="E340" s="520" t="s">
        <v>18</v>
      </c>
      <c r="F340" s="420"/>
      <c r="G340" s="424"/>
      <c r="H340" s="522" t="s">
        <v>12</v>
      </c>
      <c r="I340" s="679"/>
      <c r="J340" s="679"/>
      <c r="K340" s="678"/>
      <c r="L340" s="502">
        <v>0</v>
      </c>
      <c r="M340" s="502">
        <v>0</v>
      </c>
      <c r="N340" s="502">
        <v>0</v>
      </c>
      <c r="O340" s="502">
        <f t="shared" si="45"/>
        <v>0</v>
      </c>
      <c r="P340" s="502">
        <f t="shared" si="46"/>
        <v>0</v>
      </c>
    </row>
    <row r="341" spans="1:16" ht="18.75" x14ac:dyDescent="0.25">
      <c r="A341" s="684"/>
      <c r="B341" s="420"/>
      <c r="C341" s="421"/>
      <c r="D341" s="420"/>
      <c r="E341" s="295" t="s">
        <v>19</v>
      </c>
      <c r="F341" s="420"/>
      <c r="G341" s="424"/>
      <c r="H341" s="705" t="s">
        <v>12</v>
      </c>
      <c r="I341" s="679"/>
      <c r="J341" s="679"/>
      <c r="K341" s="678"/>
      <c r="L341" s="427">
        <f ca="1">IFERROR(__xludf.DUMMYFUNCTION("IMPORTRANGE(""https://docs.google.com/spreadsheets/d/1-uDff_7J0KD5mKrp0Vvzr7lt3OU09vwQwhkpOPPYv2Y/edit?usp=sharing"",""งบพรบ!EV60"")"),0)</f>
        <v>0</v>
      </c>
      <c r="M341" s="427">
        <f ca="1">IFERROR(__xludf.DUMMYFUNCTION("IMPORTRANGE(""https://docs.google.com/spreadsheets/d/1-uDff_7J0KD5mKrp0Vvzr7lt3OU09vwQwhkpOPPYv2Y/edit?usp=sharing"",""งบพรบ!EY60"")"),0)</f>
        <v>0</v>
      </c>
      <c r="N341" s="427">
        <f ca="1">IFERROR(__xludf.DUMMYFUNCTION("IMPORTRANGE(""https://docs.google.com/spreadsheets/d/1-uDff_7J0KD5mKrp0Vvzr7lt3OU09vwQwhkpOPPYv2Y/edit?usp=sharing"",""งบพรบ!FA60"")"),0)</f>
        <v>0</v>
      </c>
      <c r="O341" s="427">
        <f t="shared" ca="1" si="45"/>
        <v>0</v>
      </c>
      <c r="P341" s="427">
        <f t="shared" ca="1" si="46"/>
        <v>0</v>
      </c>
    </row>
    <row r="342" spans="1:16" ht="19.5" x14ac:dyDescent="0.3">
      <c r="A342" s="683"/>
      <c r="B342" s="432"/>
      <c r="C342" s="711" t="s">
        <v>16</v>
      </c>
      <c r="D342" s="728" t="s">
        <v>36</v>
      </c>
      <c r="E342" s="682"/>
      <c r="F342" s="682"/>
      <c r="G342" s="681"/>
      <c r="H342" s="424"/>
      <c r="I342" s="429"/>
      <c r="J342" s="429"/>
      <c r="K342" s="430"/>
      <c r="L342" s="430"/>
      <c r="M342" s="430"/>
      <c r="N342" s="430"/>
      <c r="O342" s="678"/>
      <c r="P342" s="678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185</v>
      </c>
      <c r="K343" s="417">
        <v>0</v>
      </c>
      <c r="L343" s="557"/>
      <c r="M343" s="557"/>
      <c r="N343" s="557"/>
      <c r="O343" s="557"/>
      <c r="P343" s="55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IFERROR(__xludf.DUMMYFUNCTION("IMPORTRANGE(""https://docs.google.com/spreadsheets/d/1eHaY18a8A9IcSdp1K8H6x8fbOy06t2VsZHhMHf-1x7Y/edit?usp=sharing"",""แผน!EK60"")"),140)</f>
        <v>140</v>
      </c>
      <c r="J344" s="426">
        <f ca="1">IFERROR(__xludf.DUMMYFUNCTION("IMPORTRANGE(""https://docs.google.com/spreadsheets/d/1awYsYK3VOup2i3Pq_Yjnu8DRu_mYwSBnCR2QPthd0rU/edit?usp=sharing"",""ศูนย์ยกเว้นโฉนด!D60"")"),50)</f>
        <v>50</v>
      </c>
      <c r="K344" s="427">
        <f ca="1">IF(I344&gt;0,J344*100/I344,0)</f>
        <v>35.714285714285715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IFERROR(__xludf.DUMMYFUNCTION("IMPORTRANGE(""https://docs.google.com/spreadsheets/d/1eHaY18a8A9IcSdp1K8H6x8fbOy06t2VsZHhMHf-1x7Y/edit?usp=sharing"",""แผน!EL60"")"),1)</f>
        <v>1</v>
      </c>
      <c r="J346" s="426">
        <f ca="1">IFERROR(__xludf.DUMMYFUNCTION("IMPORTRANGE(""https://docs.google.com/spreadsheets/d/1awYsYK3VOup2i3Pq_Yjnu8DRu_mYwSBnCR2QPthd0rU/edit?usp=sharing"",""ศูนย์รวม!E60"")"),1)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IFERROR(__xludf.DUMMYFUNCTION("IMPORTRANGE(""https://docs.google.com/spreadsheets/d/1awYsYK3VOup2i3Pq_Yjnu8DRu_mYwSBnCR2QPthd0rU/edit?usp=sharing"",""ศูนย์ยกเว้นโฉนด!F60"")"),126)</f>
        <v>126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IFERROR(__xludf.DUMMYFUNCTION("IMPORTRANGE(""https://docs.google.com/spreadsheets/d/1awYsYK3VOup2i3Pq_Yjnu8DRu_mYwSBnCR2QPthd0rU/edit?usp=sharing"",""ศูนย์ยกเว้นโฉนด!G60"")"),8)</f>
        <v>8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56" t="s">
        <v>138</v>
      </c>
      <c r="F351" s="435"/>
      <c r="G351" s="438"/>
      <c r="H351" s="727" t="s">
        <v>33</v>
      </c>
      <c r="I351" s="440">
        <v>0</v>
      </c>
      <c r="J351" s="440">
        <f ca="1">J352+J353</f>
        <v>0</v>
      </c>
      <c r="K351" s="441">
        <v>0</v>
      </c>
      <c r="L351" s="555"/>
      <c r="M351" s="555"/>
      <c r="N351" s="555"/>
      <c r="O351" s="555"/>
      <c r="P351" s="55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IFERROR(__xludf.DUMMYFUNCTION("IMPORTRANGE(""https://docs.google.com/spreadsheets/d/1awYsYK3VOup2i3Pq_Yjnu8DRu_mYwSBnCR2QPthd0rU/edit?usp=sharing"",""โฉนดM3!G60"")"),0)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IFERROR(__xludf.DUMMYFUNCTION("IMPORTRANGE(""https://docs.google.com/spreadsheets/d/1awYsYK3VOup2i3Pq_Yjnu8DRu_mYwSBnCR2QPthd0rU/edit?usp=sharing"",""โฉนดM3!H60"")"),0)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ม.ค. 67 เวลา 09.45 น.]")</f>
        <v xml:space="preserve"> [ข้อมูลจาก ระบบศูนย์บริการประชาชน ข้อมูล ณ 16 ม.ค. 67 เวลา 09.45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26"/>
      <c r="B355" s="725" t="s">
        <v>141</v>
      </c>
      <c r="C355" s="724"/>
      <c r="D355" s="723"/>
      <c r="E355" s="723"/>
      <c r="F355" s="723"/>
      <c r="G355" s="722"/>
      <c r="H355" s="721"/>
      <c r="I355" s="720"/>
      <c r="J355" s="720"/>
      <c r="K355" s="719"/>
      <c r="L355" s="719"/>
      <c r="M355" s="719"/>
      <c r="N355" s="719"/>
      <c r="O355" s="719"/>
      <c r="P355" s="719"/>
    </row>
    <row r="356" spans="1:16" ht="19.5" x14ac:dyDescent="0.3">
      <c r="A356" s="684"/>
      <c r="B356" s="420"/>
      <c r="C356" s="718" t="s">
        <v>16</v>
      </c>
      <c r="D356" s="717" t="s">
        <v>17</v>
      </c>
      <c r="E356" s="420"/>
      <c r="F356" s="420"/>
      <c r="G356" s="424"/>
      <c r="H356" s="716" t="s">
        <v>12</v>
      </c>
      <c r="I356" s="429"/>
      <c r="J356" s="429"/>
      <c r="K356" s="430"/>
      <c r="L356" s="715">
        <f ca="1">L357+L358</f>
        <v>115055</v>
      </c>
      <c r="M356" s="715">
        <f ca="1">M357+M358</f>
        <v>89055</v>
      </c>
      <c r="N356" s="715">
        <f ca="1">N357+N358</f>
        <v>26000</v>
      </c>
      <c r="O356" s="715">
        <f t="shared" ref="O356:O364" ca="1" si="48">IF(L356&gt;0,N356*100/L356,0)</f>
        <v>22.597887966624658</v>
      </c>
      <c r="P356" s="715">
        <f t="shared" ref="P356:P364" ca="1" si="49">IF(M356&gt;0,N356*100/M356,0)</f>
        <v>29.195441019594632</v>
      </c>
    </row>
    <row r="357" spans="1:16" ht="18.75" hidden="1" x14ac:dyDescent="0.25">
      <c r="A357" s="684"/>
      <c r="B357" s="420"/>
      <c r="C357" s="420"/>
      <c r="D357" s="420"/>
      <c r="E357" s="520" t="s">
        <v>18</v>
      </c>
      <c r="F357" s="420"/>
      <c r="G357" s="424"/>
      <c r="H357" s="524" t="s">
        <v>12</v>
      </c>
      <c r="I357" s="429"/>
      <c r="J357" s="429"/>
      <c r="K357" s="430"/>
      <c r="L357" s="502">
        <f t="shared" ref="L357:N358" si="50">L360+L363</f>
        <v>0</v>
      </c>
      <c r="M357" s="502">
        <f t="shared" si="50"/>
        <v>0</v>
      </c>
      <c r="N357" s="502">
        <f t="shared" si="50"/>
        <v>0</v>
      </c>
      <c r="O357" s="502">
        <f t="shared" si="48"/>
        <v>0</v>
      </c>
      <c r="P357" s="502">
        <f t="shared" si="49"/>
        <v>0</v>
      </c>
    </row>
    <row r="358" spans="1:16" ht="18.75" x14ac:dyDescent="0.25">
      <c r="A358" s="684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t="shared" ca="1" si="50"/>
        <v>115055</v>
      </c>
      <c r="M358" s="427">
        <f t="shared" ca="1" si="50"/>
        <v>89055</v>
      </c>
      <c r="N358" s="427">
        <f t="shared" ca="1" si="50"/>
        <v>26000</v>
      </c>
      <c r="O358" s="427">
        <f t="shared" ca="1" si="48"/>
        <v>22.597887966624658</v>
      </c>
      <c r="P358" s="427">
        <f t="shared" ca="1" si="49"/>
        <v>29.195441019594632</v>
      </c>
    </row>
    <row r="359" spans="1:16" ht="18.75" x14ac:dyDescent="0.25">
      <c r="A359" s="684"/>
      <c r="B359" s="421"/>
      <c r="C359" s="420"/>
      <c r="D359" s="713" t="s">
        <v>20</v>
      </c>
      <c r="E359" s="420"/>
      <c r="F359" s="420"/>
      <c r="G359" s="424"/>
      <c r="H359" s="714" t="s">
        <v>12</v>
      </c>
      <c r="I359" s="679"/>
      <c r="J359" s="679"/>
      <c r="K359" s="678"/>
      <c r="L359" s="427">
        <f ca="1">L360+L361</f>
        <v>115055</v>
      </c>
      <c r="M359" s="427">
        <f ca="1">M360+M361</f>
        <v>89055</v>
      </c>
      <c r="N359" s="427">
        <f ca="1">N360+N361</f>
        <v>26000</v>
      </c>
      <c r="O359" s="427">
        <f t="shared" ca="1" si="48"/>
        <v>22.597887966624658</v>
      </c>
      <c r="P359" s="427">
        <f t="shared" ca="1" si="49"/>
        <v>29.195441019594632</v>
      </c>
    </row>
    <row r="360" spans="1:16" ht="18.75" hidden="1" x14ac:dyDescent="0.25">
      <c r="A360" s="684"/>
      <c r="B360" s="420"/>
      <c r="C360" s="421"/>
      <c r="D360" s="420"/>
      <c r="E360" s="520" t="s">
        <v>34</v>
      </c>
      <c r="F360" s="420"/>
      <c r="G360" s="424"/>
      <c r="H360" s="522" t="s">
        <v>12</v>
      </c>
      <c r="I360" s="679"/>
      <c r="J360" s="679"/>
      <c r="K360" s="678"/>
      <c r="L360" s="502">
        <v>0</v>
      </c>
      <c r="M360" s="502">
        <v>0</v>
      </c>
      <c r="N360" s="502">
        <v>0</v>
      </c>
      <c r="O360" s="502">
        <f t="shared" si="48"/>
        <v>0</v>
      </c>
      <c r="P360" s="502">
        <f t="shared" si="49"/>
        <v>0</v>
      </c>
    </row>
    <row r="361" spans="1:16" ht="18.75" x14ac:dyDescent="0.25">
      <c r="A361" s="684"/>
      <c r="B361" s="420"/>
      <c r="C361" s="421"/>
      <c r="D361" s="420"/>
      <c r="E361" s="295" t="s">
        <v>35</v>
      </c>
      <c r="F361" s="420"/>
      <c r="G361" s="424"/>
      <c r="H361" s="714" t="s">
        <v>12</v>
      </c>
      <c r="I361" s="679"/>
      <c r="J361" s="679"/>
      <c r="K361" s="678"/>
      <c r="L361" s="427">
        <f ca="1">IFERROR(__xludf.DUMMYFUNCTION("IMPORTRANGE(""https://docs.google.com/spreadsheets/d/1-uDff_7J0KD5mKrp0Vvzr7lt3OU09vwQwhkpOPPYv2Y/edit?usp=sharing"",""งบพรบ!FC60"")"),115055)</f>
        <v>115055</v>
      </c>
      <c r="M361" s="427">
        <f ca="1">IFERROR(__xludf.DUMMYFUNCTION("IMPORTRANGE(""https://docs.google.com/spreadsheets/d/1-uDff_7J0KD5mKrp0Vvzr7lt3OU09vwQwhkpOPPYv2Y/edit?usp=sharing"",""งบพรบ!FH60"")"),89055)</f>
        <v>89055</v>
      </c>
      <c r="N361" s="427">
        <f ca="1">IFERROR(__xludf.DUMMYFUNCTION("IMPORTRANGE(""https://docs.google.com/spreadsheets/d/1-uDff_7J0KD5mKrp0Vvzr7lt3OU09vwQwhkpOPPYv2Y/edit?usp=sharing"",""งบพรบ!FJ60"")"),26000)</f>
        <v>26000</v>
      </c>
      <c r="O361" s="427">
        <f t="shared" ca="1" si="48"/>
        <v>22.597887966624658</v>
      </c>
      <c r="P361" s="427">
        <f t="shared" ca="1" si="49"/>
        <v>29.195441019594632</v>
      </c>
    </row>
    <row r="362" spans="1:16" ht="18.75" x14ac:dyDescent="0.25">
      <c r="A362" s="684"/>
      <c r="B362" s="420"/>
      <c r="C362" s="421"/>
      <c r="D362" s="713" t="s">
        <v>21</v>
      </c>
      <c r="E362" s="420"/>
      <c r="F362" s="420"/>
      <c r="G362" s="424"/>
      <c r="H362" s="705" t="s">
        <v>12</v>
      </c>
      <c r="I362" s="679"/>
      <c r="J362" s="679"/>
      <c r="K362" s="678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t="shared" ca="1" si="48"/>
        <v>0</v>
      </c>
      <c r="P362" s="427">
        <f t="shared" ca="1" si="49"/>
        <v>0</v>
      </c>
    </row>
    <row r="363" spans="1:16" ht="18.75" hidden="1" x14ac:dyDescent="0.25">
      <c r="A363" s="684"/>
      <c r="B363" s="420"/>
      <c r="C363" s="421"/>
      <c r="D363" s="420"/>
      <c r="E363" s="520" t="s">
        <v>18</v>
      </c>
      <c r="F363" s="420"/>
      <c r="G363" s="424"/>
      <c r="H363" s="522" t="s">
        <v>12</v>
      </c>
      <c r="I363" s="679"/>
      <c r="J363" s="679"/>
      <c r="K363" s="678"/>
      <c r="L363" s="502">
        <v>0</v>
      </c>
      <c r="M363" s="502">
        <v>0</v>
      </c>
      <c r="N363" s="502">
        <v>0</v>
      </c>
      <c r="O363" s="502">
        <f t="shared" si="48"/>
        <v>0</v>
      </c>
      <c r="P363" s="502">
        <f t="shared" si="49"/>
        <v>0</v>
      </c>
    </row>
    <row r="364" spans="1:16" ht="18.75" x14ac:dyDescent="0.25">
      <c r="A364" s="684"/>
      <c r="B364" s="420"/>
      <c r="C364" s="421"/>
      <c r="D364" s="420"/>
      <c r="E364" s="295" t="s">
        <v>19</v>
      </c>
      <c r="F364" s="420"/>
      <c r="G364" s="424"/>
      <c r="H364" s="705" t="s">
        <v>12</v>
      </c>
      <c r="I364" s="679"/>
      <c r="J364" s="679"/>
      <c r="K364" s="678"/>
      <c r="L364" s="427">
        <f ca="1">IFERROR(__xludf.DUMMYFUNCTION("IMPORTRANGE(""https://docs.google.com/spreadsheets/d/1-uDff_7J0KD5mKrp0Vvzr7lt3OU09vwQwhkpOPPYv2Y/edit?usp=sharing"",""งบพรบ!FF60"")"),0)</f>
        <v>0</v>
      </c>
      <c r="M364" s="427">
        <f ca="1">IFERROR(__xludf.DUMMYFUNCTION("IMPORTRANGE(""https://docs.google.com/spreadsheets/d/1-uDff_7J0KD5mKrp0Vvzr7lt3OU09vwQwhkpOPPYv2Y/edit?usp=sharing"",""งบพรบ!FI60"")"),0)</f>
        <v>0</v>
      </c>
      <c r="N364" s="427">
        <f ca="1">IFERROR(__xludf.DUMMYFUNCTION("IMPORTRANGE(""https://docs.google.com/spreadsheets/d/1-uDff_7J0KD5mKrp0Vvzr7lt3OU09vwQwhkpOPPYv2Y/edit?usp=sharing"",""งบพรบ!FK60"")"),0)</f>
        <v>0</v>
      </c>
      <c r="O364" s="427">
        <f t="shared" ca="1" si="48"/>
        <v>0</v>
      </c>
      <c r="P364" s="427">
        <f t="shared" ca="1" si="49"/>
        <v>0</v>
      </c>
    </row>
    <row r="365" spans="1:16" ht="19.5" x14ac:dyDescent="0.3">
      <c r="A365" s="434"/>
      <c r="B365" s="436"/>
      <c r="C365" s="436"/>
      <c r="D365" s="556" t="s">
        <v>142</v>
      </c>
      <c r="E365" s="435"/>
      <c r="F365" s="435"/>
      <c r="G365" s="438"/>
      <c r="H365" s="712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55"/>
      <c r="M365" s="555"/>
      <c r="N365" s="555"/>
      <c r="O365" s="555"/>
      <c r="P365" s="555"/>
    </row>
    <row r="366" spans="1:16" ht="19.5" x14ac:dyDescent="0.3">
      <c r="A366" s="683"/>
      <c r="B366" s="432"/>
      <c r="C366" s="711" t="s">
        <v>16</v>
      </c>
      <c r="D366" s="710" t="s">
        <v>36</v>
      </c>
      <c r="E366" s="682"/>
      <c r="F366" s="682"/>
      <c r="G366" s="681"/>
      <c r="H366" s="680"/>
      <c r="I366" s="429"/>
      <c r="J366" s="429"/>
      <c r="K366" s="430"/>
      <c r="L366" s="678"/>
      <c r="M366" s="678"/>
      <c r="N366" s="678"/>
      <c r="O366" s="678"/>
      <c r="P366" s="678"/>
    </row>
    <row r="367" spans="1:16" ht="18.75" x14ac:dyDescent="0.25">
      <c r="A367" s="683"/>
      <c r="B367" s="432"/>
      <c r="C367" s="432"/>
      <c r="D367" s="422"/>
      <c r="E367" s="709" t="s">
        <v>143</v>
      </c>
      <c r="F367" s="432"/>
      <c r="G367" s="708"/>
      <c r="H367" s="707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IFERROR(__xludf.DUMMYFUNCTION("IMPORTRANGE(""https://docs.google.com/spreadsheets/d/1tdoBKaGub7dwA3U6UFTqxio9LNnvDCQjHKmttSEBsFQ/edit?usp=sharing"",""จัดที่ดิน!AB60"")"),0)</f>
        <v>0</v>
      </c>
      <c r="K367" s="427">
        <f t="shared" ref="K367:K372" si="51">IF(I367&gt;0,J367*100/I367,0)</f>
        <v>0</v>
      </c>
      <c r="L367" s="678"/>
      <c r="M367" s="678"/>
      <c r="N367" s="678"/>
      <c r="O367" s="678"/>
      <c r="P367" s="678"/>
    </row>
    <row r="368" spans="1:16" ht="18.75" x14ac:dyDescent="0.25">
      <c r="A368" s="683"/>
      <c r="B368" s="422"/>
      <c r="C368" s="432"/>
      <c r="D368" s="422"/>
      <c r="E368" s="422"/>
      <c r="F368" s="422"/>
      <c r="G368" s="680"/>
      <c r="H368" s="707" t="s">
        <v>44</v>
      </c>
      <c r="I368" s="426">
        <f ca="1">IFERROR(__xludf.DUMMYFUNCTION("IMPORTRANGE(""https://docs.google.com/spreadsheets/d/1eHaY18a8A9IcSdp1K8H6x8fbOy06t2VsZHhMHf-1x7Y/edit?usp=sharing"",""แผน!EW60"")"),0)</f>
        <v>0</v>
      </c>
      <c r="J368" s="704">
        <f ca="1">IFERROR(__xludf.DUMMYFUNCTION("IMPORTRANGE(""https://docs.google.com/spreadsheets/d/1tdoBKaGub7dwA3U6UFTqxio9LNnvDCQjHKmttSEBsFQ/edit?usp=sharing"",""จัดที่ดิน!AC60"")"),0)</f>
        <v>0</v>
      </c>
      <c r="K368" s="427">
        <f t="shared" ca="1" si="51"/>
        <v>0</v>
      </c>
      <c r="L368" s="678"/>
      <c r="M368" s="678"/>
      <c r="N368" s="678"/>
      <c r="O368" s="678"/>
      <c r="P368" s="678"/>
    </row>
    <row r="369" spans="1:16" ht="18.75" x14ac:dyDescent="0.25">
      <c r="A369" s="683"/>
      <c r="B369" s="422"/>
      <c r="C369" s="432"/>
      <c r="D369" s="422"/>
      <c r="E369" s="706" t="s">
        <v>144</v>
      </c>
      <c r="F369" s="422"/>
      <c r="G369" s="680"/>
      <c r="H369" s="705" t="s">
        <v>33</v>
      </c>
      <c r="I369" s="426">
        <f ca="1">IFERROR(__xludf.DUMMYFUNCTION("IMPORTRANGE(""https://docs.google.com/spreadsheets/d/1eHaY18a8A9IcSdp1K8H6x8fbOy06t2VsZHhMHf-1x7Y/edit?usp=sharing"",""แผน!EX60"")"),0)</f>
        <v>0</v>
      </c>
      <c r="J369" s="426">
        <f ca="1">IFERROR(__xludf.DUMMYFUNCTION("IMPORTRANGE(""https://docs.google.com/spreadsheets/d/1tdoBKaGub7dwA3U6UFTqxio9LNnvDCQjHKmttSEBsFQ/edit?usp=sharing"",""จัดที่ดิน!AD60"")"),0)</f>
        <v>0</v>
      </c>
      <c r="K369" s="427">
        <f t="shared" ca="1" si="51"/>
        <v>0</v>
      </c>
      <c r="L369" s="678"/>
      <c r="M369" s="678"/>
      <c r="N369" s="678"/>
      <c r="O369" s="678"/>
      <c r="P369" s="678"/>
    </row>
    <row r="370" spans="1:16" ht="18.75" x14ac:dyDescent="0.25">
      <c r="A370" s="683"/>
      <c r="B370" s="422"/>
      <c r="C370" s="432"/>
      <c r="D370" s="422"/>
      <c r="E370" s="422"/>
      <c r="F370" s="422"/>
      <c r="G370" s="680"/>
      <c r="H370" s="705" t="s">
        <v>44</v>
      </c>
      <c r="I370" s="426">
        <v>0</v>
      </c>
      <c r="J370" s="704">
        <f ca="1">IFERROR(__xludf.DUMMYFUNCTION("IMPORTRANGE(""https://docs.google.com/spreadsheets/d/1tdoBKaGub7dwA3U6UFTqxio9LNnvDCQjHKmttSEBsFQ/edit?usp=sharing"",""จัดที่ดิน!AE60"")"),0)</f>
        <v>0</v>
      </c>
      <c r="K370" s="427">
        <f t="shared" si="51"/>
        <v>0</v>
      </c>
      <c r="L370" s="678"/>
      <c r="M370" s="678"/>
      <c r="N370" s="678"/>
      <c r="O370" s="678"/>
      <c r="P370" s="678"/>
    </row>
    <row r="371" spans="1:16" ht="18.75" x14ac:dyDescent="0.25">
      <c r="A371" s="683"/>
      <c r="B371" s="422"/>
      <c r="C371" s="432"/>
      <c r="D371" s="422"/>
      <c r="E371" s="706" t="s">
        <v>145</v>
      </c>
      <c r="F371" s="422"/>
      <c r="G371" s="680"/>
      <c r="H371" s="705" t="s">
        <v>33</v>
      </c>
      <c r="I371" s="426">
        <f ca="1">IFERROR(__xludf.DUMMYFUNCTION("IMPORTRANGE(""https://docs.google.com/spreadsheets/d/1eHaY18a8A9IcSdp1K8H6x8fbOy06t2VsZHhMHf-1x7Y/edit?usp=sharing"",""แผน!EY60"")"),0)</f>
        <v>0</v>
      </c>
      <c r="J371" s="426">
        <f ca="1">IFERROR(__xludf.DUMMYFUNCTION("IMPORTRANGE(""https://docs.google.com/spreadsheets/d/1tdoBKaGub7dwA3U6UFTqxio9LNnvDCQjHKmttSEBsFQ/edit?usp=sharing"",""จัดที่ดิน!AF60"")"),0)</f>
        <v>0</v>
      </c>
      <c r="K371" s="427">
        <f t="shared" ca="1" si="51"/>
        <v>0</v>
      </c>
      <c r="L371" s="678"/>
      <c r="M371" s="678"/>
      <c r="N371" s="678"/>
      <c r="O371" s="678"/>
      <c r="P371" s="678"/>
    </row>
    <row r="372" spans="1:16" ht="18.75" x14ac:dyDescent="0.25">
      <c r="A372" s="683"/>
      <c r="B372" s="422"/>
      <c r="C372" s="432"/>
      <c r="D372" s="422"/>
      <c r="E372" s="422"/>
      <c r="F372" s="422"/>
      <c r="G372" s="680"/>
      <c r="H372" s="705" t="s">
        <v>44</v>
      </c>
      <c r="I372" s="426">
        <v>0</v>
      </c>
      <c r="J372" s="704">
        <f ca="1">IFERROR(__xludf.DUMMYFUNCTION("IMPORTRANGE(""https://docs.google.com/spreadsheets/d/1tdoBKaGub7dwA3U6UFTqxio9LNnvDCQjHKmttSEBsFQ/edit?usp=sharing"",""จัดที่ดิน!AG60"")"),0)</f>
        <v>0</v>
      </c>
      <c r="K372" s="427">
        <f t="shared" si="51"/>
        <v>0</v>
      </c>
      <c r="L372" s="678"/>
      <c r="M372" s="678"/>
      <c r="N372" s="678"/>
      <c r="O372" s="678"/>
      <c r="P372" s="678"/>
    </row>
    <row r="373" spans="1:16" ht="16.5" x14ac:dyDescent="0.25">
      <c r="A373" s="676"/>
      <c r="B373" s="629"/>
      <c r="C373" s="676"/>
      <c r="D373" s="70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ม.ค. 2566 เวลา 08.05 น.]")</f>
        <v xml:space="preserve"> [ข้อมูลจาก ระบบ ALRO Land Online ข้อมูล ณ 16 ม.ค. 2566 เวลา 08.05 น.]</v>
      </c>
      <c r="E373" s="629"/>
      <c r="F373" s="629"/>
      <c r="G373" s="628"/>
      <c r="H373" s="702"/>
      <c r="I373" s="626"/>
      <c r="J373" s="626"/>
      <c r="K373" s="625"/>
      <c r="L373" s="625"/>
      <c r="M373" s="625"/>
      <c r="N373" s="625"/>
      <c r="O373" s="625"/>
      <c r="P373" s="625"/>
    </row>
    <row r="374" spans="1:16" ht="19.5" hidden="1" x14ac:dyDescent="0.3">
      <c r="A374" s="701" t="s">
        <v>146</v>
      </c>
      <c r="B374" s="699"/>
      <c r="C374" s="699"/>
      <c r="D374" s="699"/>
      <c r="E374" s="700"/>
      <c r="F374" s="700"/>
      <c r="G374" s="700"/>
      <c r="H374" s="699"/>
      <c r="I374" s="698"/>
      <c r="J374" s="698"/>
      <c r="K374" s="697"/>
      <c r="L374" s="697"/>
      <c r="M374" s="697"/>
      <c r="N374" s="697"/>
      <c r="O374" s="697"/>
      <c r="P374" s="696"/>
    </row>
    <row r="375" spans="1:16" ht="19.5" hidden="1" x14ac:dyDescent="0.3">
      <c r="A375" s="542" t="s">
        <v>147</v>
      </c>
      <c r="B375" s="694"/>
      <c r="C375" s="694"/>
      <c r="D375" s="695"/>
      <c r="E375" s="694"/>
      <c r="F375" s="694"/>
      <c r="G375" s="694"/>
      <c r="H375" s="693"/>
      <c r="I375" s="692"/>
      <c r="J375" s="692"/>
      <c r="K375" s="691"/>
      <c r="L375" s="691"/>
      <c r="M375" s="691"/>
      <c r="N375" s="691"/>
      <c r="O375" s="691"/>
      <c r="P375" s="691"/>
    </row>
    <row r="376" spans="1:16" ht="19.5" hidden="1" x14ac:dyDescent="0.3">
      <c r="A376" s="690"/>
      <c r="B376" s="535" t="s">
        <v>148</v>
      </c>
      <c r="C376" s="689"/>
      <c r="D376" s="688"/>
      <c r="E376" s="688"/>
      <c r="F376" s="688"/>
      <c r="G376" s="687"/>
      <c r="H376" s="686" t="s">
        <v>54</v>
      </c>
      <c r="I376" s="530">
        <f>I388</f>
        <v>0</v>
      </c>
      <c r="J376" s="530">
        <f>J388</f>
        <v>0</v>
      </c>
      <c r="K376" s="529">
        <f>IF(I376&gt;0,J376*100/I376,0)</f>
        <v>0</v>
      </c>
      <c r="L376" s="685"/>
      <c r="M376" s="685"/>
      <c r="N376" s="685"/>
      <c r="O376" s="685"/>
      <c r="P376" s="685"/>
    </row>
    <row r="377" spans="1:16" ht="19.5" hidden="1" x14ac:dyDescent="0.3">
      <c r="A377" s="684"/>
      <c r="B377" s="420"/>
      <c r="C377" s="517" t="s">
        <v>16</v>
      </c>
      <c r="D377" s="527" t="s">
        <v>17</v>
      </c>
      <c r="E377" s="420"/>
      <c r="F377" s="420"/>
      <c r="G377" s="424"/>
      <c r="H377" s="526" t="s">
        <v>12</v>
      </c>
      <c r="I377" s="429"/>
      <c r="J377" s="429"/>
      <c r="K377" s="430"/>
      <c r="L377" s="525">
        <f ca="1">L378+L379</f>
        <v>0</v>
      </c>
      <c r="M377" s="525">
        <f ca="1">M378+M379</f>
        <v>0</v>
      </c>
      <c r="N377" s="525">
        <f ca="1">N378+N379</f>
        <v>0</v>
      </c>
      <c r="O377" s="525">
        <f t="shared" ref="O377:O385" ca="1" si="52">IF(L377&gt;0,N377*100/L377,0)</f>
        <v>0</v>
      </c>
      <c r="P377" s="525">
        <f t="shared" ref="P377:P385" ca="1" si="53">IF(M377&gt;0,N377*100/M377,0)</f>
        <v>0</v>
      </c>
    </row>
    <row r="378" spans="1:16" ht="18.75" hidden="1" x14ac:dyDescent="0.25">
      <c r="A378" s="684"/>
      <c r="B378" s="421"/>
      <c r="C378" s="420"/>
      <c r="D378" s="420"/>
      <c r="E378" s="520" t="s">
        <v>18</v>
      </c>
      <c r="F378" s="420"/>
      <c r="G378" s="424"/>
      <c r="H378" s="524" t="s">
        <v>12</v>
      </c>
      <c r="I378" s="429"/>
      <c r="J378" s="429"/>
      <c r="K378" s="430"/>
      <c r="L378" s="502">
        <f t="shared" ref="L378:N379" si="54">L381+L384</f>
        <v>0</v>
      </c>
      <c r="M378" s="502">
        <f t="shared" si="54"/>
        <v>0</v>
      </c>
      <c r="N378" s="502">
        <f t="shared" si="54"/>
        <v>0</v>
      </c>
      <c r="O378" s="502">
        <f t="shared" si="52"/>
        <v>0</v>
      </c>
      <c r="P378" s="502">
        <f t="shared" si="53"/>
        <v>0</v>
      </c>
    </row>
    <row r="379" spans="1:16" ht="18.75" hidden="1" x14ac:dyDescent="0.25">
      <c r="A379" s="684"/>
      <c r="B379" s="420"/>
      <c r="C379" s="421"/>
      <c r="D379" s="420"/>
      <c r="E379" s="603" t="s">
        <v>19</v>
      </c>
      <c r="F379" s="420"/>
      <c r="G379" s="424"/>
      <c r="H379" s="524" t="s">
        <v>12</v>
      </c>
      <c r="I379" s="429"/>
      <c r="J379" s="429"/>
      <c r="K379" s="430"/>
      <c r="L379" s="502">
        <f t="shared" ca="1" si="54"/>
        <v>0</v>
      </c>
      <c r="M379" s="502">
        <f t="shared" ca="1" si="54"/>
        <v>0</v>
      </c>
      <c r="N379" s="502">
        <f t="shared" ca="1" si="54"/>
        <v>0</v>
      </c>
      <c r="O379" s="502">
        <f t="shared" ca="1" si="52"/>
        <v>0</v>
      </c>
      <c r="P379" s="502">
        <f t="shared" ca="1" si="53"/>
        <v>0</v>
      </c>
    </row>
    <row r="380" spans="1:16" ht="18.75" hidden="1" x14ac:dyDescent="0.25">
      <c r="A380" s="684"/>
      <c r="B380" s="420"/>
      <c r="C380" s="421"/>
      <c r="D380" s="523" t="s">
        <v>20</v>
      </c>
      <c r="E380" s="421"/>
      <c r="F380" s="420"/>
      <c r="G380" s="424"/>
      <c r="H380" s="522" t="s">
        <v>12</v>
      </c>
      <c r="I380" s="679"/>
      <c r="J380" s="679"/>
      <c r="K380" s="678"/>
      <c r="L380" s="502">
        <f ca="1">L381+L382</f>
        <v>0</v>
      </c>
      <c r="M380" s="502">
        <f ca="1">M381+M382</f>
        <v>0</v>
      </c>
      <c r="N380" s="502">
        <f ca="1">N381+N382</f>
        <v>0</v>
      </c>
      <c r="O380" s="502">
        <f t="shared" ca="1" si="52"/>
        <v>0</v>
      </c>
      <c r="P380" s="502">
        <f t="shared" ca="1" si="53"/>
        <v>0</v>
      </c>
    </row>
    <row r="381" spans="1:16" ht="18.75" hidden="1" x14ac:dyDescent="0.25">
      <c r="A381" s="684"/>
      <c r="B381" s="420"/>
      <c r="C381" s="420"/>
      <c r="D381" s="420"/>
      <c r="E381" s="520" t="s">
        <v>34</v>
      </c>
      <c r="F381" s="420"/>
      <c r="G381" s="424"/>
      <c r="H381" s="522" t="s">
        <v>12</v>
      </c>
      <c r="I381" s="679"/>
      <c r="J381" s="679"/>
      <c r="K381" s="678"/>
      <c r="L381" s="502">
        <v>0</v>
      </c>
      <c r="M381" s="502">
        <v>0</v>
      </c>
      <c r="N381" s="502">
        <v>0</v>
      </c>
      <c r="O381" s="502">
        <f t="shared" si="52"/>
        <v>0</v>
      </c>
      <c r="P381" s="502">
        <f t="shared" si="53"/>
        <v>0</v>
      </c>
    </row>
    <row r="382" spans="1:16" ht="18.75" hidden="1" x14ac:dyDescent="0.25">
      <c r="A382" s="684"/>
      <c r="B382" s="420"/>
      <c r="C382" s="420"/>
      <c r="D382" s="420"/>
      <c r="E382" s="520" t="s">
        <v>35</v>
      </c>
      <c r="F382" s="420"/>
      <c r="G382" s="424"/>
      <c r="H382" s="522" t="s">
        <v>12</v>
      </c>
      <c r="I382" s="679"/>
      <c r="J382" s="679"/>
      <c r="K382" s="678"/>
      <c r="L382" s="502">
        <f ca="1">IFERROR(__xludf.DUMMYFUNCTION("IMPORTRANGE(""https://docs.google.com/spreadsheets/d/1-uDff_7J0KD5mKrp0Vvzr7lt3OU09vwQwhkpOPPYv2Y/edit?usp=sharing"",""งบพรบ!FM60"")"),0)</f>
        <v>0</v>
      </c>
      <c r="M382" s="502">
        <f ca="1">IFERROR(__xludf.DUMMYFUNCTION("IMPORTRANGE(""https://docs.google.com/spreadsheets/d/1-uDff_7J0KD5mKrp0Vvzr7lt3OU09vwQwhkpOPPYv2Y/edit?usp=sharing"",""งบพรบ!FR60"")"),0)</f>
        <v>0</v>
      </c>
      <c r="N382" s="502">
        <f ca="1">IFERROR(__xludf.DUMMYFUNCTION("IMPORTRANGE(""https://docs.google.com/spreadsheets/d/1-uDff_7J0KD5mKrp0Vvzr7lt3OU09vwQwhkpOPPYv2Y/edit?usp=sharing"",""งบพรบ!FT60"")"),0)</f>
        <v>0</v>
      </c>
      <c r="O382" s="502">
        <f t="shared" ca="1" si="52"/>
        <v>0</v>
      </c>
      <c r="P382" s="502">
        <f t="shared" ca="1" si="53"/>
        <v>0</v>
      </c>
    </row>
    <row r="383" spans="1:16" ht="18.75" hidden="1" x14ac:dyDescent="0.25">
      <c r="A383" s="684"/>
      <c r="B383" s="420"/>
      <c r="C383" s="420"/>
      <c r="D383" s="523" t="s">
        <v>21</v>
      </c>
      <c r="E383" s="420"/>
      <c r="F383" s="420"/>
      <c r="G383" s="424"/>
      <c r="H383" s="519" t="s">
        <v>12</v>
      </c>
      <c r="I383" s="679"/>
      <c r="J383" s="679"/>
      <c r="K383" s="678"/>
      <c r="L383" s="502">
        <f ca="1">L384+L385</f>
        <v>0</v>
      </c>
      <c r="M383" s="502">
        <f ca="1">M384+M385</f>
        <v>0</v>
      </c>
      <c r="N383" s="502">
        <f ca="1">N384+N385</f>
        <v>0</v>
      </c>
      <c r="O383" s="502">
        <f t="shared" ca="1" si="52"/>
        <v>0</v>
      </c>
      <c r="P383" s="502">
        <f t="shared" ca="1" si="53"/>
        <v>0</v>
      </c>
    </row>
    <row r="384" spans="1:16" ht="18.75" hidden="1" x14ac:dyDescent="0.25">
      <c r="A384" s="684"/>
      <c r="B384" s="420"/>
      <c r="C384" s="420"/>
      <c r="D384" s="420"/>
      <c r="E384" s="520" t="s">
        <v>18</v>
      </c>
      <c r="F384" s="420"/>
      <c r="G384" s="424"/>
      <c r="H384" s="522" t="s">
        <v>12</v>
      </c>
      <c r="I384" s="679"/>
      <c r="J384" s="679"/>
      <c r="K384" s="678"/>
      <c r="L384" s="502">
        <v>0</v>
      </c>
      <c r="M384" s="502">
        <v>0</v>
      </c>
      <c r="N384" s="502">
        <v>0</v>
      </c>
      <c r="O384" s="502">
        <f t="shared" si="52"/>
        <v>0</v>
      </c>
      <c r="P384" s="502">
        <f t="shared" si="53"/>
        <v>0</v>
      </c>
    </row>
    <row r="385" spans="1:16" ht="18.75" hidden="1" x14ac:dyDescent="0.25">
      <c r="A385" s="684"/>
      <c r="B385" s="420"/>
      <c r="C385" s="420"/>
      <c r="D385" s="420"/>
      <c r="E385" s="520" t="s">
        <v>19</v>
      </c>
      <c r="F385" s="420"/>
      <c r="G385" s="424"/>
      <c r="H385" s="519" t="s">
        <v>12</v>
      </c>
      <c r="I385" s="679"/>
      <c r="J385" s="679"/>
      <c r="K385" s="678"/>
      <c r="L385" s="502">
        <f ca="1">IFERROR(__xludf.DUMMYFUNCTION("IMPORTRANGE(""https://docs.google.com/spreadsheets/d/1-uDff_7J0KD5mKrp0Vvzr7lt3OU09vwQwhkpOPPYv2Y/edit?usp=sharing"",""งบพรบ!FP60"")"),0)</f>
        <v>0</v>
      </c>
      <c r="M385" s="502">
        <f ca="1">IFERROR(__xludf.DUMMYFUNCTION("IMPORTRANGE(""https://docs.google.com/spreadsheets/d/1-uDff_7J0KD5mKrp0Vvzr7lt3OU09vwQwhkpOPPYv2Y/edit?usp=sharing"",""งบพรบ!FS60"")"),0)</f>
        <v>0</v>
      </c>
      <c r="N385" s="502">
        <f ca="1">IFERROR(__xludf.DUMMYFUNCTION("IMPORTRANGE(""https://docs.google.com/spreadsheets/d/1-uDff_7J0KD5mKrp0Vvzr7lt3OU09vwQwhkpOPPYv2Y/edit?usp=sharing"",""งบพรบ!FU60"")"),0)</f>
        <v>0</v>
      </c>
      <c r="O385" s="502">
        <f t="shared" ca="1" si="52"/>
        <v>0</v>
      </c>
      <c r="P385" s="502">
        <f t="shared" ca="1" si="53"/>
        <v>0</v>
      </c>
    </row>
    <row r="386" spans="1:16" ht="19.5" hidden="1" x14ac:dyDescent="0.3">
      <c r="A386" s="683"/>
      <c r="B386" s="432"/>
      <c r="C386" s="517" t="s">
        <v>16</v>
      </c>
      <c r="D386" s="516" t="s">
        <v>36</v>
      </c>
      <c r="E386" s="682"/>
      <c r="F386" s="682"/>
      <c r="G386" s="681"/>
      <c r="H386" s="680"/>
      <c r="I386" s="679"/>
      <c r="J386" s="429"/>
      <c r="K386" s="430"/>
      <c r="L386" s="430"/>
      <c r="M386" s="430"/>
      <c r="N386" s="430"/>
      <c r="O386" s="678"/>
      <c r="P386" s="678"/>
    </row>
    <row r="387" spans="1:16" ht="18.75" hidden="1" x14ac:dyDescent="0.25">
      <c r="A387" s="419"/>
      <c r="B387" s="420"/>
      <c r="C387" s="421"/>
      <c r="D387" s="508" t="s">
        <v>149</v>
      </c>
      <c r="E387" s="432"/>
      <c r="F387" s="420"/>
      <c r="G387" s="424"/>
      <c r="H387" s="504" t="s">
        <v>9</v>
      </c>
      <c r="I387" s="201">
        <v>0</v>
      </c>
      <c r="J387" s="503">
        <v>0</v>
      </c>
      <c r="K387" s="50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77"/>
      <c r="B388" s="629"/>
      <c r="C388" s="676"/>
      <c r="D388" s="498" t="s">
        <v>150</v>
      </c>
      <c r="E388" s="675"/>
      <c r="F388" s="629"/>
      <c r="G388" s="628"/>
      <c r="H388" s="494" t="s">
        <v>54</v>
      </c>
      <c r="I388" s="493">
        <v>0</v>
      </c>
      <c r="J388" s="492">
        <v>0</v>
      </c>
      <c r="K388" s="491">
        <f>IF(I388&gt;0,J388*100/I388,0)</f>
        <v>0</v>
      </c>
      <c r="L388" s="625"/>
      <c r="M388" s="625"/>
      <c r="N388" s="625"/>
      <c r="O388" s="625"/>
      <c r="P388" s="625"/>
    </row>
    <row r="389" spans="1:16" ht="12.75" x14ac:dyDescent="0.2">
      <c r="A389" s="673"/>
      <c r="B389" s="673"/>
      <c r="C389" s="673"/>
      <c r="D389" s="673"/>
      <c r="E389" s="673"/>
      <c r="F389" s="673"/>
      <c r="G389" s="673"/>
      <c r="H389" s="673"/>
      <c r="I389" s="673"/>
      <c r="J389" s="673"/>
      <c r="K389" s="673"/>
      <c r="L389" s="673"/>
      <c r="M389" s="673"/>
      <c r="N389" s="673"/>
      <c r="O389" s="673"/>
      <c r="P389" s="673"/>
    </row>
    <row r="390" spans="1:16" ht="16.5" x14ac:dyDescent="0.25">
      <c r="A390" s="674" t="s">
        <v>151</v>
      </c>
      <c r="B390" s="673"/>
      <c r="C390" s="673"/>
      <c r="D390" s="673"/>
      <c r="E390" s="673"/>
      <c r="F390" s="673"/>
      <c r="G390" s="673"/>
      <c r="H390" s="673"/>
      <c r="I390" s="673"/>
      <c r="J390" s="673"/>
      <c r="K390" s="673"/>
      <c r="L390" s="673"/>
      <c r="M390" s="673"/>
      <c r="N390" s="673"/>
      <c r="O390" s="673"/>
      <c r="P390" s="673"/>
    </row>
    <row r="391" spans="1:16" ht="16.5" x14ac:dyDescent="0.25">
      <c r="A391" s="67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ม.ค. 67</v>
      </c>
      <c r="B391" s="673"/>
      <c r="C391" s="673"/>
      <c r="D391" s="673"/>
      <c r="E391" s="673"/>
      <c r="F391" s="673"/>
      <c r="G391" s="673"/>
      <c r="H391" s="673"/>
      <c r="I391" s="673"/>
      <c r="J391" s="673"/>
      <c r="K391" s="673"/>
      <c r="L391" s="673"/>
      <c r="M391" s="673"/>
      <c r="N391" s="673"/>
      <c r="O391" s="673"/>
      <c r="P391" s="673"/>
    </row>
  </sheetData>
  <mergeCells count="12">
    <mergeCell ref="A1:P1"/>
    <mergeCell ref="A2:P2"/>
    <mergeCell ref="A3:P3"/>
    <mergeCell ref="L5:M5"/>
    <mergeCell ref="N5:P5"/>
    <mergeCell ref="A5:G6"/>
    <mergeCell ref="I5:K5"/>
    <mergeCell ref="A7:G7"/>
    <mergeCell ref="A17:G17"/>
    <mergeCell ref="A30:G30"/>
    <mergeCell ref="A56:G56"/>
    <mergeCell ref="B57:G57"/>
  </mergeCells>
  <pageMargins left="0.23622047244094491" right="0.23622047244094491" top="0.55118110236220474" bottom="0.55118110236220474" header="0.31496062992125984" footer="0.31496062992125984"/>
  <pageSetup paperSize="9" scale="43" orientation="portrait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2024-01-19T04:59:28Z</dcterms:modified>
</cp:coreProperties>
</file>